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codeName="DieseArbeitsmappe" defaultThemeVersion="166925"/>
  <mc:AlternateContent xmlns:mc="http://schemas.openxmlformats.org/markup-compatibility/2006">
    <mc:Choice Requires="x15">
      <x15ac:absPath xmlns:x15ac="http://schemas.microsoft.com/office/spreadsheetml/2010/11/ac" url="C:\Users\User\Desktop\Za slanje Katalog\Radna grupa full\"/>
    </mc:Choice>
  </mc:AlternateContent>
  <xr:revisionPtr revIDLastSave="0" documentId="13_ncr:1_{BA2EF075-2A2A-45E1-897A-90D962089DAB}" xr6:coauthVersionLast="45" xr6:coauthVersionMax="45" xr10:uidLastSave="{00000000-0000-0000-0000-000000000000}"/>
  <bookViews>
    <workbookView xWindow="-120" yWindow="-120" windowWidth="29040" windowHeight="15840" firstSheet="2" activeTab="2" xr2:uid="{00000000-000D-0000-FFFF-FFFF00000000}"/>
  </bookViews>
  <sheets>
    <sheet name="Uvod" sheetId="48" r:id="rId1"/>
    <sheet name="Rezultati" sheetId="26" r:id="rId2"/>
    <sheet name="Unos podataka" sheetId="1" r:id="rId3"/>
    <sheet name="Eliminatorni kriteriji" sheetId="7" r:id="rId4"/>
    <sheet name="E1 - Specifična investicija" sheetId="2" r:id="rId5"/>
    <sheet name="E2 - Doprinos zaštiti klime" sheetId="3" r:id="rId6"/>
    <sheet name="E3 - Priključak na d. mrežu" sheetId="4" r:id="rId7"/>
    <sheet name="E4 - Dodatni efekti" sheetId="5" r:id="rId8"/>
    <sheet name="E - Ukupna ocjena" sheetId="6" r:id="rId9"/>
    <sheet name="UV1 -Iskorištenost hidroe. pot." sheetId="8" r:id="rId10"/>
    <sheet name="UV2 -Karakteristike HE" sheetId="9" r:id="rId11"/>
    <sheet name="UV3 - Efikasnost iskoriš. vode" sheetId="10" r:id="rId12"/>
    <sheet name="UV4 - Promjena pot. rizika" sheetId="11" r:id="rId13"/>
    <sheet name="UV5 - Utjecaj na kv. vode" sheetId="12" r:id="rId14"/>
    <sheet name="UV6 - Utjecaj na podzemen vode" sheetId="13" r:id="rId15"/>
    <sheet name="UV - Ukupna ocjena" sheetId="14" r:id="rId16"/>
    <sheet name="PP1 - PP dokumentacija" sheetId="15" r:id="rId17"/>
    <sheet name="PP2 - Direktno korištenje t.v." sheetId="16" r:id="rId18"/>
    <sheet name="PP3 - Infrastruktura" sheetId="17" r:id="rId19"/>
    <sheet name="PP4 - Poljoprivreda" sheetId="18" r:id="rId20"/>
    <sheet name="PP5 - Šumarstvo" sheetId="19" r:id="rId21"/>
    <sheet name="PP6 - Kulturna dobra" sheetId="20" r:id="rId22"/>
    <sheet name="PP7 - Turizam" sheetId="21" r:id="rId23"/>
    <sheet name="PP8 - Lokalna privreda" sheetId="23" r:id="rId24"/>
    <sheet name="PP - Ukupna ocjena" sheetId="24" r:id="rId25"/>
    <sheet name="EV1 - Hidromorfologija" sheetId="25" r:id="rId26"/>
    <sheet name="EV2 - Ekološki status" sheetId="30" r:id="rId27"/>
    <sheet name="EV3 - Površina sliva" sheetId="31" r:id="rId28"/>
    <sheet name="EV4 - Posebni tipovi vodotoka" sheetId="32" r:id="rId29"/>
    <sheet name="EV5 -Postojanje mrjestilišta" sheetId="33" r:id="rId30"/>
    <sheet name="EV6- Putevi slobodnog toka" sheetId="34" r:id="rId31"/>
    <sheet name="EV7 - Toplotno zagađenje" sheetId="35" r:id="rId32"/>
    <sheet name="EV8 - Akumulacija" sheetId="36" r:id="rId33"/>
    <sheet name="EV - Ukupna ocjena" sheetId="37" r:id="rId34"/>
    <sheet name="ZP1 - Zaštita vrsta" sheetId="40" r:id="rId35"/>
    <sheet name="ZP2 - Zaštita priridnog staništ" sheetId="42" r:id="rId36"/>
    <sheet name="ZP3 - Ekosistem" sheetId="43" r:id="rId37"/>
    <sheet name="ZP4 - Pejzaž i rekreacijska vr." sheetId="44" r:id="rId38"/>
    <sheet name="ZP5 - Prirodni značaj vodotoka" sheetId="45" r:id="rId39"/>
    <sheet name="ZP6 - Osjetljivi tipovi voda" sheetId="46" r:id="rId40"/>
    <sheet name="ZP7 - Osjetljiva i jed. V.T." sheetId="47" r:id="rId41"/>
    <sheet name="ZP - Ukupna ocjena" sheetId="41" r:id="rId42"/>
  </sheets>
  <definedNames>
    <definedName name="_Toc421964388" localSheetId="10">'UV2 -Karakteristike HE'!$B$5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0" i="36" l="1"/>
  <c r="F9" i="36"/>
  <c r="P9" i="36" s="1"/>
  <c r="F10" i="36"/>
  <c r="F11" i="36"/>
  <c r="P11" i="36" s="1"/>
  <c r="F12" i="36"/>
  <c r="P12" i="36" s="1"/>
  <c r="F8" i="36"/>
  <c r="P8" i="36" s="1"/>
  <c r="F14" i="1" l="1"/>
  <c r="B8" i="45" s="1"/>
  <c r="D8" i="45" s="1"/>
  <c r="M16" i="44"/>
  <c r="G25" i="44"/>
  <c r="M25" i="44"/>
  <c r="G34" i="44"/>
  <c r="L34" i="44"/>
  <c r="L35" i="44"/>
  <c r="F15" i="1"/>
  <c r="B9" i="34" s="1"/>
  <c r="D9" i="34" s="1"/>
  <c r="L36" i="44"/>
  <c r="F16" i="1"/>
  <c r="B10" i="45" s="1"/>
  <c r="D10" i="45" s="1"/>
  <c r="L37" i="44"/>
  <c r="F17" i="1"/>
  <c r="B19" i="44" s="1"/>
  <c r="L38" i="44"/>
  <c r="F18" i="1"/>
  <c r="B12" i="32" s="1"/>
  <c r="C44" i="44"/>
  <c r="G14" i="1"/>
  <c r="C8" i="30" s="1"/>
  <c r="G8" i="46"/>
  <c r="G8" i="47"/>
  <c r="G15" i="1"/>
  <c r="C9" i="47" s="1"/>
  <c r="G9" i="46"/>
  <c r="G9" i="47"/>
  <c r="G16" i="1"/>
  <c r="C10" i="31" s="1"/>
  <c r="G10" i="46"/>
  <c r="G10" i="47"/>
  <c r="G17" i="1"/>
  <c r="C11" i="46" s="1"/>
  <c r="G11" i="46"/>
  <c r="G11" i="47"/>
  <c r="G18" i="1"/>
  <c r="C13" i="41" s="1"/>
  <c r="G12" i="46"/>
  <c r="G12" i="47"/>
  <c r="L40" i="44"/>
  <c r="H17" i="7"/>
  <c r="H9" i="7"/>
  <c r="H11" i="7"/>
  <c r="H13" i="7"/>
  <c r="H15" i="7"/>
  <c r="C11" i="2"/>
  <c r="E11" i="2"/>
  <c r="C11" i="3"/>
  <c r="G11" i="3" s="1"/>
  <c r="I9" i="3" s="1"/>
  <c r="E11" i="3"/>
  <c r="C11" i="4"/>
  <c r="E11" i="4"/>
  <c r="C29" i="5"/>
  <c r="E29" i="5"/>
  <c r="G29" i="5" s="1"/>
  <c r="I27" i="5" s="1"/>
  <c r="K9" i="5" s="1"/>
  <c r="J9" i="5" s="1"/>
  <c r="C35" i="5"/>
  <c r="I35" i="5" s="1"/>
  <c r="K11" i="5" s="1"/>
  <c r="J11" i="5" s="1"/>
  <c r="C41" i="5"/>
  <c r="I41" i="5" s="1"/>
  <c r="K13" i="5" s="1"/>
  <c r="J13" i="5" s="1"/>
  <c r="C47" i="5"/>
  <c r="I47" i="5" s="1"/>
  <c r="K15" i="5" s="1"/>
  <c r="J15" i="5" s="1"/>
  <c r="C53" i="5"/>
  <c r="I53" i="5" s="1"/>
  <c r="K17" i="5" s="1"/>
  <c r="J17" i="5" s="1"/>
  <c r="C63" i="5"/>
  <c r="E63" i="5"/>
  <c r="C67" i="5"/>
  <c r="I67" i="5"/>
  <c r="K21" i="5"/>
  <c r="J21" i="5" s="1"/>
  <c r="J9" i="26"/>
  <c r="V9" i="26" s="1"/>
  <c r="C13" i="9"/>
  <c r="G13" i="9" s="1"/>
  <c r="G15" i="9" s="1"/>
  <c r="K15" i="9" s="1"/>
  <c r="E13" i="9"/>
  <c r="G25" i="9"/>
  <c r="K25" i="9"/>
  <c r="E31" i="9"/>
  <c r="C35" i="9"/>
  <c r="G35" i="9" s="1"/>
  <c r="G37" i="9" s="1"/>
  <c r="K37" i="9" s="1"/>
  <c r="E35" i="9"/>
  <c r="M9" i="26"/>
  <c r="Y9" i="26"/>
  <c r="N9" i="26"/>
  <c r="Z9" i="26" s="1"/>
  <c r="O9" i="26"/>
  <c r="AA9" i="26"/>
  <c r="D8" i="24"/>
  <c r="J10" i="26" s="1"/>
  <c r="V10" i="26" s="1"/>
  <c r="D9" i="24"/>
  <c r="K10" i="26"/>
  <c r="W10" i="26"/>
  <c r="D10" i="24"/>
  <c r="L10" i="26" s="1"/>
  <c r="X10" i="26" s="1"/>
  <c r="D11" i="24"/>
  <c r="M11" i="24" s="1"/>
  <c r="D12" i="24"/>
  <c r="G12" i="24" s="1"/>
  <c r="D13" i="24"/>
  <c r="D14" i="24"/>
  <c r="P10" i="26"/>
  <c r="AB10" i="26" s="1"/>
  <c r="D15" i="24"/>
  <c r="Q10" i="26"/>
  <c r="AC10" i="26"/>
  <c r="G26" i="44"/>
  <c r="G35" i="44"/>
  <c r="M17" i="44"/>
  <c r="M26" i="44"/>
  <c r="G27" i="44"/>
  <c r="G36" i="44"/>
  <c r="M18" i="44"/>
  <c r="M27" i="44"/>
  <c r="G28" i="44"/>
  <c r="G37" i="44"/>
  <c r="M19" i="44"/>
  <c r="M28" i="44"/>
  <c r="G29" i="44"/>
  <c r="G38" i="44"/>
  <c r="M20" i="44"/>
  <c r="M29" i="44"/>
  <c r="H8" i="45"/>
  <c r="H10" i="45"/>
  <c r="H11" i="45"/>
  <c r="H12" i="45"/>
  <c r="H9" i="45"/>
  <c r="G9" i="24"/>
  <c r="G10" i="24"/>
  <c r="G14" i="24"/>
  <c r="G15" i="24"/>
  <c r="M9" i="24"/>
  <c r="M10" i="24"/>
  <c r="M14" i="24"/>
  <c r="M15" i="24"/>
  <c r="F9" i="24"/>
  <c r="F10" i="24"/>
  <c r="F14" i="24"/>
  <c r="F15" i="24"/>
  <c r="G10" i="30"/>
  <c r="G10" i="31"/>
  <c r="G10" i="32"/>
  <c r="J10" i="32"/>
  <c r="G10" i="33"/>
  <c r="P11" i="37"/>
  <c r="G10" i="35"/>
  <c r="Q10" i="36"/>
  <c r="H10" i="36"/>
  <c r="H10" i="32"/>
  <c r="G10" i="34"/>
  <c r="H10" i="35"/>
  <c r="G11" i="30"/>
  <c r="G11" i="31"/>
  <c r="G11" i="32"/>
  <c r="J11" i="32"/>
  <c r="G11" i="33"/>
  <c r="P12" i="37"/>
  <c r="G11" i="35"/>
  <c r="Q11" i="36"/>
  <c r="H11" i="36"/>
  <c r="H11" i="32"/>
  <c r="H11" i="33"/>
  <c r="G11" i="34"/>
  <c r="H11" i="30"/>
  <c r="G12" i="30"/>
  <c r="G12" i="31"/>
  <c r="G12" i="32"/>
  <c r="J12" i="32"/>
  <c r="G12" i="33"/>
  <c r="P13" i="37"/>
  <c r="G12" i="35"/>
  <c r="Q12" i="36"/>
  <c r="H12" i="36"/>
  <c r="H12" i="35"/>
  <c r="G8" i="30"/>
  <c r="G8" i="31"/>
  <c r="G8" i="32"/>
  <c r="J8" i="32"/>
  <c r="G8" i="33"/>
  <c r="P9" i="37"/>
  <c r="G8" i="35"/>
  <c r="Q8" i="36"/>
  <c r="H8" i="36"/>
  <c r="H8" i="33"/>
  <c r="H8" i="32"/>
  <c r="G9" i="30"/>
  <c r="G9" i="31"/>
  <c r="G9" i="32"/>
  <c r="J9" i="32"/>
  <c r="G9" i="33"/>
  <c r="P10" i="37"/>
  <c r="G9" i="35"/>
  <c r="Q9" i="36"/>
  <c r="H9" i="36"/>
  <c r="H9" i="30"/>
  <c r="H9" i="31"/>
  <c r="H9" i="32"/>
  <c r="H9" i="33"/>
  <c r="G9" i="34"/>
  <c r="H9" i="35"/>
  <c r="I9" i="36"/>
  <c r="G8" i="34"/>
  <c r="C24" i="21"/>
  <c r="C24" i="20"/>
  <c r="H12" i="33"/>
  <c r="H10" i="33"/>
  <c r="H10" i="30"/>
  <c r="H12" i="30"/>
  <c r="H8" i="30"/>
  <c r="H8" i="47"/>
  <c r="H8" i="46"/>
  <c r="H8" i="42"/>
  <c r="H9" i="25"/>
  <c r="C31" i="1"/>
  <c r="I23" i="25"/>
  <c r="I8" i="31"/>
  <c r="L8" i="32"/>
  <c r="I8" i="33"/>
  <c r="I9" i="33"/>
  <c r="I10" i="33"/>
  <c r="I11" i="33"/>
  <c r="I12" i="33"/>
  <c r="H8" i="31"/>
  <c r="I8" i="36"/>
  <c r="H8" i="35"/>
  <c r="E14" i="14"/>
  <c r="H9" i="47"/>
  <c r="H10" i="47"/>
  <c r="H11" i="47"/>
  <c r="H12" i="47"/>
  <c r="H9" i="46"/>
  <c r="H10" i="46"/>
  <c r="H11" i="46"/>
  <c r="H12" i="46"/>
  <c r="H8" i="43"/>
  <c r="H9" i="43"/>
  <c r="H10" i="43"/>
  <c r="H11" i="43"/>
  <c r="H12" i="43"/>
  <c r="H9" i="42"/>
  <c r="H10" i="42"/>
  <c r="H11" i="42"/>
  <c r="H12" i="42"/>
  <c r="H8" i="40"/>
  <c r="H9" i="40"/>
  <c r="H10" i="40"/>
  <c r="H11" i="40"/>
  <c r="H12" i="40"/>
  <c r="H8" i="34"/>
  <c r="H9" i="34"/>
  <c r="H10" i="34"/>
  <c r="H11" i="34"/>
  <c r="H12" i="34"/>
  <c r="I8" i="35"/>
  <c r="I9" i="35"/>
  <c r="I10" i="35"/>
  <c r="I11" i="35"/>
  <c r="I12" i="35"/>
  <c r="E11" i="10"/>
  <c r="I8" i="30"/>
  <c r="I9" i="30"/>
  <c r="I10" i="30"/>
  <c r="I11" i="30"/>
  <c r="I12" i="30"/>
  <c r="L9" i="32"/>
  <c r="L10" i="32"/>
  <c r="L11" i="32"/>
  <c r="L12" i="32"/>
  <c r="I24" i="25"/>
  <c r="I25" i="25"/>
  <c r="I26" i="25"/>
  <c r="I27" i="25"/>
  <c r="H10" i="25"/>
  <c r="H11" i="25"/>
  <c r="H12" i="25"/>
  <c r="H13" i="25"/>
  <c r="G12" i="34"/>
  <c r="H10" i="31"/>
  <c r="I10" i="36"/>
  <c r="H11" i="35"/>
  <c r="H11" i="31"/>
  <c r="I11" i="36"/>
  <c r="H12" i="32"/>
  <c r="H12" i="31"/>
  <c r="I12" i="36"/>
  <c r="J8" i="36"/>
  <c r="D8" i="14"/>
  <c r="F8" i="14" s="1"/>
  <c r="G8" i="14" s="1"/>
  <c r="D13" i="14"/>
  <c r="F13" i="14"/>
  <c r="G13" i="14" s="1"/>
  <c r="J9" i="36"/>
  <c r="D12" i="14"/>
  <c r="F12" i="14" s="1"/>
  <c r="G12" i="14" s="1"/>
  <c r="D11" i="14"/>
  <c r="F11" i="14"/>
  <c r="G11" i="14" s="1"/>
  <c r="L20" i="26"/>
  <c r="H16" i="24"/>
  <c r="C9" i="10"/>
  <c r="L22" i="26"/>
  <c r="L21" i="26"/>
  <c r="L19" i="26"/>
  <c r="L18" i="26"/>
  <c r="E3" i="26"/>
  <c r="R19" i="26"/>
  <c r="R20" i="26"/>
  <c r="R21" i="26" s="1"/>
  <c r="R22" i="26" s="1"/>
  <c r="Q19" i="26"/>
  <c r="Q20" i="26"/>
  <c r="Q21" i="26" s="1"/>
  <c r="Q22" i="26" s="1"/>
  <c r="P19" i="26"/>
  <c r="P20" i="26"/>
  <c r="P21" i="26" s="1"/>
  <c r="P22" i="26" s="1"/>
  <c r="O19" i="26"/>
  <c r="O20" i="26"/>
  <c r="O21" i="26" s="1"/>
  <c r="O22" i="26" s="1"/>
  <c r="N19" i="26"/>
  <c r="N20" i="26"/>
  <c r="N21" i="26" s="1"/>
  <c r="N22" i="26" s="1"/>
  <c r="B8" i="47"/>
  <c r="D8" i="47" s="1"/>
  <c r="B10" i="47"/>
  <c r="D10" i="47" s="1"/>
  <c r="C9" i="46"/>
  <c r="C18" i="44"/>
  <c r="I18" i="44" s="1"/>
  <c r="C27" i="44" s="1"/>
  <c r="I27" i="44" s="1"/>
  <c r="C36" i="44" s="1"/>
  <c r="I36" i="44" s="1"/>
  <c r="B11" i="42"/>
  <c r="D11" i="42" s="1"/>
  <c r="C33" i="9"/>
  <c r="B8" i="36"/>
  <c r="D8" i="36" s="1"/>
  <c r="B10" i="31"/>
  <c r="B8" i="30"/>
  <c r="C10" i="34"/>
  <c r="C12" i="34"/>
  <c r="C25" i="25"/>
  <c r="C11" i="25"/>
  <c r="E11" i="25" s="1"/>
  <c r="C13" i="25"/>
  <c r="E13" i="25" s="1"/>
  <c r="J10" i="36"/>
  <c r="J11" i="36"/>
  <c r="J12" i="36"/>
  <c r="I9" i="31"/>
  <c r="I10" i="31"/>
  <c r="I11" i="31"/>
  <c r="I12" i="31"/>
  <c r="E61" i="5"/>
  <c r="C61" i="5"/>
  <c r="E27" i="5"/>
  <c r="E9" i="10"/>
  <c r="E33" i="9"/>
  <c r="E11" i="9"/>
  <c r="C11" i="9"/>
  <c r="E9" i="4"/>
  <c r="C9" i="4"/>
  <c r="E9" i="3"/>
  <c r="C9" i="3"/>
  <c r="E9" i="2"/>
  <c r="C9" i="2"/>
  <c r="B10" i="34" l="1"/>
  <c r="C11" i="42"/>
  <c r="C19" i="44"/>
  <c r="I19" i="44" s="1"/>
  <c r="C28" i="44" s="1"/>
  <c r="I28" i="44" s="1"/>
  <c r="C37" i="44" s="1"/>
  <c r="I37" i="44" s="1"/>
  <c r="C11" i="47"/>
  <c r="B12" i="40"/>
  <c r="D12" i="40" s="1"/>
  <c r="B11" i="37"/>
  <c r="F11" i="37" s="1"/>
  <c r="C12" i="37"/>
  <c r="N12" i="37" s="1"/>
  <c r="C11" i="41"/>
  <c r="D11" i="41" s="1"/>
  <c r="C26" i="25"/>
  <c r="C11" i="40"/>
  <c r="C10" i="43"/>
  <c r="C9" i="25"/>
  <c r="E9" i="25" s="1"/>
  <c r="C12" i="40"/>
  <c r="C12" i="31"/>
  <c r="C12" i="35"/>
  <c r="B8" i="33"/>
  <c r="D8" i="33" s="1"/>
  <c r="C20" i="44"/>
  <c r="I20" i="44" s="1"/>
  <c r="C29" i="44" s="1"/>
  <c r="I29" i="44" s="1"/>
  <c r="C38" i="44" s="1"/>
  <c r="I38" i="44" s="1"/>
  <c r="C27" i="25"/>
  <c r="C12" i="32"/>
  <c r="C12" i="36"/>
  <c r="C12" i="43"/>
  <c r="C9" i="45"/>
  <c r="B9" i="40"/>
  <c r="D9" i="40" s="1"/>
  <c r="C13" i="37"/>
  <c r="AF13" i="37" s="1"/>
  <c r="C8" i="40"/>
  <c r="T13" i="41"/>
  <c r="J13" i="41"/>
  <c r="S13" i="41"/>
  <c r="B11" i="35"/>
  <c r="D11" i="35" s="1"/>
  <c r="B9" i="43"/>
  <c r="D9" i="43" s="1"/>
  <c r="B9" i="45"/>
  <c r="D9" i="45" s="1"/>
  <c r="B11" i="46"/>
  <c r="D11" i="46" s="1"/>
  <c r="B12" i="37"/>
  <c r="F12" i="37" s="1"/>
  <c r="B11" i="32"/>
  <c r="C8" i="47"/>
  <c r="C8" i="34"/>
  <c r="C12" i="33"/>
  <c r="C9" i="35"/>
  <c r="C12" i="45"/>
  <c r="X13" i="37"/>
  <c r="AY13" i="37" s="1"/>
  <c r="C16" i="44"/>
  <c r="C8" i="33"/>
  <c r="B11" i="30"/>
  <c r="D11" i="30" s="1"/>
  <c r="B9" i="36"/>
  <c r="D9" i="36" s="1"/>
  <c r="B11" i="43"/>
  <c r="D11" i="43" s="1"/>
  <c r="C23" i="25"/>
  <c r="C8" i="42"/>
  <c r="C8" i="32"/>
  <c r="C9" i="32"/>
  <c r="C9" i="30"/>
  <c r="C9" i="31"/>
  <c r="C10" i="33"/>
  <c r="C10" i="35"/>
  <c r="B12" i="33"/>
  <c r="D12" i="33" s="1"/>
  <c r="C9" i="42"/>
  <c r="B10" i="46"/>
  <c r="D10" i="46" s="1"/>
  <c r="AK12" i="37"/>
  <c r="C11" i="37"/>
  <c r="K11" i="37" s="1"/>
  <c r="Q13" i="41"/>
  <c r="I19" i="1"/>
  <c r="C11" i="10" s="1"/>
  <c r="G11" i="10" s="1"/>
  <c r="I9" i="10" s="1"/>
  <c r="L9" i="26" s="1"/>
  <c r="X9" i="26" s="1"/>
  <c r="AR12" i="37"/>
  <c r="C10" i="30"/>
  <c r="C9" i="36"/>
  <c r="C9" i="43"/>
  <c r="AE12" i="37"/>
  <c r="AF12" i="37"/>
  <c r="C8" i="45"/>
  <c r="C8" i="36"/>
  <c r="V13" i="41"/>
  <c r="G63" i="5"/>
  <c r="I61" i="5" s="1"/>
  <c r="K19" i="5" s="1"/>
  <c r="J19" i="5" s="1"/>
  <c r="N14" i="5" s="1"/>
  <c r="K8" i="26"/>
  <c r="W8" i="26" s="1"/>
  <c r="D9" i="6"/>
  <c r="F9" i="6" s="1"/>
  <c r="G9" i="6" s="1"/>
  <c r="G11" i="4"/>
  <c r="I9" i="4" s="1"/>
  <c r="D10" i="6" s="1"/>
  <c r="F10" i="6" s="1"/>
  <c r="G10" i="6" s="1"/>
  <c r="G11" i="2"/>
  <c r="I9" i="2" s="1"/>
  <c r="K41" i="9"/>
  <c r="G41" i="9" s="1"/>
  <c r="K9" i="26" s="1"/>
  <c r="W9" i="26" s="1"/>
  <c r="D11" i="37"/>
  <c r="K12" i="32"/>
  <c r="D12" i="32"/>
  <c r="U12" i="37"/>
  <c r="AV12" i="37" s="1"/>
  <c r="Z12" i="37"/>
  <c r="BA12" i="37" s="1"/>
  <c r="AO12" i="37"/>
  <c r="AI12" i="37"/>
  <c r="T12" i="37"/>
  <c r="AU12" i="37" s="1"/>
  <c r="X12" i="37"/>
  <c r="AY12" i="37" s="1"/>
  <c r="R12" i="37"/>
  <c r="J12" i="37"/>
  <c r="J11" i="41"/>
  <c r="B13" i="37"/>
  <c r="B12" i="43"/>
  <c r="D12" i="43" s="1"/>
  <c r="B12" i="36"/>
  <c r="D12" i="36" s="1"/>
  <c r="B17" i="44"/>
  <c r="B10" i="25"/>
  <c r="B9" i="33"/>
  <c r="AH12" i="37"/>
  <c r="C10" i="25"/>
  <c r="E10" i="25" s="1"/>
  <c r="E14" i="25" s="1"/>
  <c r="C24" i="25"/>
  <c r="B12" i="30"/>
  <c r="D12" i="30" s="1"/>
  <c r="B9" i="30"/>
  <c r="D9" i="30" s="1"/>
  <c r="C9" i="34"/>
  <c r="B8" i="31"/>
  <c r="D8" i="31" s="1"/>
  <c r="B11" i="33"/>
  <c r="D11" i="33" s="1"/>
  <c r="B12" i="34"/>
  <c r="D12" i="34" s="1"/>
  <c r="B8" i="35"/>
  <c r="D8" i="35" s="1"/>
  <c r="B9" i="35"/>
  <c r="D9" i="35" s="1"/>
  <c r="B11" i="36"/>
  <c r="D11" i="36" s="1"/>
  <c r="C9" i="40"/>
  <c r="B9" i="42"/>
  <c r="D9" i="42" s="1"/>
  <c r="C17" i="44"/>
  <c r="I17" i="44" s="1"/>
  <c r="C26" i="44" s="1"/>
  <c r="I26" i="44" s="1"/>
  <c r="C35" i="44" s="1"/>
  <c r="I35" i="44" s="1"/>
  <c r="B9" i="46"/>
  <c r="D9" i="46" s="1"/>
  <c r="B9" i="47"/>
  <c r="D9" i="47" s="1"/>
  <c r="B11" i="47"/>
  <c r="C16" i="47" s="1"/>
  <c r="B11" i="40"/>
  <c r="D11" i="40" s="1"/>
  <c r="B10" i="37"/>
  <c r="S12" i="37"/>
  <c r="AT12" i="37" s="1"/>
  <c r="AM12" i="37"/>
  <c r="AG12" i="37"/>
  <c r="H12" i="37"/>
  <c r="B9" i="25"/>
  <c r="L12" i="37"/>
  <c r="E13" i="41"/>
  <c r="P13" i="41"/>
  <c r="C12" i="41"/>
  <c r="I12" i="41" s="1"/>
  <c r="C11" i="43"/>
  <c r="C11" i="36"/>
  <c r="C11" i="35"/>
  <c r="C11" i="34"/>
  <c r="C11" i="33"/>
  <c r="C11" i="32"/>
  <c r="C11" i="31"/>
  <c r="C10" i="46"/>
  <c r="C10" i="45"/>
  <c r="C10" i="42"/>
  <c r="C10" i="40"/>
  <c r="B18" i="44"/>
  <c r="B11" i="25"/>
  <c r="B10" i="32"/>
  <c r="B10" i="35"/>
  <c r="B10" i="30"/>
  <c r="D10" i="30" s="1"/>
  <c r="AC12" i="37"/>
  <c r="AC11" i="37"/>
  <c r="C12" i="25"/>
  <c r="E12" i="25" s="1"/>
  <c r="C11" i="30"/>
  <c r="C10" i="32"/>
  <c r="C9" i="33"/>
  <c r="C10" i="36"/>
  <c r="B12" i="31"/>
  <c r="D12" i="31" s="1"/>
  <c r="B9" i="31"/>
  <c r="D9" i="31" s="1"/>
  <c r="B10" i="33"/>
  <c r="D10" i="33" s="1"/>
  <c r="B12" i="35"/>
  <c r="D12" i="35" s="1"/>
  <c r="B10" i="36"/>
  <c r="D10" i="36" s="1"/>
  <c r="B10" i="42"/>
  <c r="D10" i="42" s="1"/>
  <c r="B12" i="42"/>
  <c r="D12" i="42" s="1"/>
  <c r="B10" i="43"/>
  <c r="D10" i="43" s="1"/>
  <c r="B8" i="43"/>
  <c r="C11" i="45"/>
  <c r="B12" i="45"/>
  <c r="D12" i="45" s="1"/>
  <c r="B12" i="46"/>
  <c r="D12" i="46" s="1"/>
  <c r="C10" i="47"/>
  <c r="B12" i="47"/>
  <c r="D12" i="47" s="1"/>
  <c r="B10" i="40"/>
  <c r="D10" i="40" s="1"/>
  <c r="D13" i="41"/>
  <c r="AA12" i="37"/>
  <c r="BB12" i="37" s="1"/>
  <c r="W12" i="37"/>
  <c r="AX12" i="37" s="1"/>
  <c r="T11" i="37"/>
  <c r="AU11" i="37" s="1"/>
  <c r="AP12" i="37"/>
  <c r="AL12" i="37"/>
  <c r="Q22" i="37"/>
  <c r="R22" i="37" s="1"/>
  <c r="S22" i="37" s="1"/>
  <c r="T22" i="37" s="1"/>
  <c r="U22" i="37" s="1"/>
  <c r="V22" i="37" s="1"/>
  <c r="W22" i="37" s="1"/>
  <c r="X22" i="37" s="1"/>
  <c r="Y22" i="37" s="1"/>
  <c r="Z22" i="37" s="1"/>
  <c r="B9" i="32"/>
  <c r="AE13" i="37"/>
  <c r="V12" i="37"/>
  <c r="AW12" i="37" s="1"/>
  <c r="B12" i="25"/>
  <c r="R13" i="41"/>
  <c r="C12" i="47"/>
  <c r="C12" i="46"/>
  <c r="C12" i="42"/>
  <c r="C12" i="30"/>
  <c r="C9" i="41"/>
  <c r="H9" i="41" s="1"/>
  <c r="S9" i="41" s="1"/>
  <c r="C8" i="31"/>
  <c r="C8" i="35"/>
  <c r="C8" i="43"/>
  <c r="G32" i="43" s="1"/>
  <c r="L12" i="26" s="1"/>
  <c r="X12" i="26" s="1"/>
  <c r="C8" i="46"/>
  <c r="C9" i="37"/>
  <c r="AA9" i="37" s="1"/>
  <c r="BB9" i="37" s="1"/>
  <c r="N9" i="37"/>
  <c r="Q12" i="37"/>
  <c r="K12" i="37"/>
  <c r="M12" i="37"/>
  <c r="O12" i="37"/>
  <c r="AJ12" i="37"/>
  <c r="AN12" i="37"/>
  <c r="AQ12" i="37"/>
  <c r="B11" i="45"/>
  <c r="D11" i="45" s="1"/>
  <c r="B11" i="34"/>
  <c r="D11" i="34" s="1"/>
  <c r="B11" i="31"/>
  <c r="D11" i="31" s="1"/>
  <c r="B16" i="44"/>
  <c r="B9" i="37"/>
  <c r="B8" i="32"/>
  <c r="B8" i="34"/>
  <c r="D8" i="34" s="1"/>
  <c r="B8" i="40"/>
  <c r="D8" i="40" s="1"/>
  <c r="B8" i="46"/>
  <c r="D8" i="46" s="1"/>
  <c r="B8" i="42"/>
  <c r="D8" i="42" s="1"/>
  <c r="C21" i="7"/>
  <c r="H32" i="45"/>
  <c r="N12" i="26" s="1"/>
  <c r="Z12" i="26" s="1"/>
  <c r="D8" i="30"/>
  <c r="D10" i="14"/>
  <c r="F10" i="14" s="1"/>
  <c r="G10" i="14" s="1"/>
  <c r="D10" i="31"/>
  <c r="D10" i="34"/>
  <c r="D8" i="43"/>
  <c r="I16" i="44"/>
  <c r="C25" i="44" s="1"/>
  <c r="I25" i="44" s="1"/>
  <c r="C34" i="44" s="1"/>
  <c r="I34" i="44" s="1"/>
  <c r="H19" i="44"/>
  <c r="B28" i="44" s="1"/>
  <c r="H28" i="44" s="1"/>
  <c r="B37" i="44" s="1"/>
  <c r="H37" i="44" s="1"/>
  <c r="G19" i="44"/>
  <c r="O10" i="26"/>
  <c r="AA10" i="26" s="1"/>
  <c r="M13" i="24"/>
  <c r="G13" i="24"/>
  <c r="F13" i="24"/>
  <c r="I25" i="9"/>
  <c r="G31" i="9"/>
  <c r="I37" i="9"/>
  <c r="I4" i="26"/>
  <c r="W12" i="41"/>
  <c r="V11" i="41"/>
  <c r="B20" i="44"/>
  <c r="B13" i="25"/>
  <c r="S12" i="41"/>
  <c r="Q12" i="41"/>
  <c r="T12" i="41"/>
  <c r="E12" i="41"/>
  <c r="G12" i="41"/>
  <c r="K12" i="41"/>
  <c r="P12" i="41"/>
  <c r="R12" i="41"/>
  <c r="J12" i="41"/>
  <c r="V12" i="41"/>
  <c r="Q23" i="37"/>
  <c r="I15" i="9"/>
  <c r="F12" i="41"/>
  <c r="C10" i="41"/>
  <c r="C10" i="37"/>
  <c r="D19" i="44"/>
  <c r="J19" i="44" s="1"/>
  <c r="D28" i="44" s="1"/>
  <c r="J28" i="44" s="1"/>
  <c r="D37" i="44" s="1"/>
  <c r="J37" i="44" s="1"/>
  <c r="D12" i="41"/>
  <c r="AI13" i="37"/>
  <c r="M13" i="37"/>
  <c r="AQ13" i="37"/>
  <c r="M10" i="26"/>
  <c r="Y10" i="26" s="1"/>
  <c r="G11" i="24"/>
  <c r="F11" i="24"/>
  <c r="U12" i="41"/>
  <c r="H12" i="41"/>
  <c r="H11" i="41"/>
  <c r="F11" i="41"/>
  <c r="I11" i="41"/>
  <c r="W11" i="41"/>
  <c r="S11" i="41"/>
  <c r="Q11" i="41"/>
  <c r="E11" i="41"/>
  <c r="G11" i="41"/>
  <c r="K11" i="41"/>
  <c r="W13" i="41"/>
  <c r="U13" i="41"/>
  <c r="I13" i="41"/>
  <c r="F13" i="41"/>
  <c r="H13" i="41"/>
  <c r="Y12" i="37"/>
  <c r="AZ12" i="37" s="1"/>
  <c r="AD12" i="37"/>
  <c r="K13" i="41"/>
  <c r="G13" i="41"/>
  <c r="M12" i="24"/>
  <c r="N10" i="26"/>
  <c r="Z10" i="26" s="1"/>
  <c r="M8" i="24"/>
  <c r="G8" i="24"/>
  <c r="T11" i="41" l="1"/>
  <c r="U11" i="41"/>
  <c r="Q13" i="37"/>
  <c r="R11" i="41"/>
  <c r="K9" i="37"/>
  <c r="P11" i="41"/>
  <c r="V13" i="37"/>
  <c r="AW13" i="37" s="1"/>
  <c r="AN13" i="37"/>
  <c r="K13" i="37"/>
  <c r="H13" i="37"/>
  <c r="AK13" i="37"/>
  <c r="D11" i="47"/>
  <c r="U11" i="37"/>
  <c r="AV11" i="37" s="1"/>
  <c r="I16" i="36"/>
  <c r="Q11" i="26" s="1"/>
  <c r="AC11" i="26" s="1"/>
  <c r="Y13" i="37"/>
  <c r="AZ13" i="37" s="1"/>
  <c r="AJ13" i="37"/>
  <c r="AP13" i="37"/>
  <c r="C16" i="30"/>
  <c r="K17" i="32"/>
  <c r="M11" i="26" s="1"/>
  <c r="Y11" i="26" s="1"/>
  <c r="AI11" i="37"/>
  <c r="L13" i="37"/>
  <c r="AA13" i="37"/>
  <c r="BB13" i="37" s="1"/>
  <c r="AC13" i="37"/>
  <c r="W13" i="37"/>
  <c r="AX13" i="37" s="1"/>
  <c r="S13" i="37"/>
  <c r="AT13" i="37" s="1"/>
  <c r="AH13" i="37"/>
  <c r="AL13" i="37"/>
  <c r="H16" i="35"/>
  <c r="P11" i="26" s="1"/>
  <c r="AB11" i="26" s="1"/>
  <c r="J13" i="37"/>
  <c r="AQ11" i="37"/>
  <c r="N13" i="37"/>
  <c r="U13" i="37"/>
  <c r="AV13" i="37" s="1"/>
  <c r="AR13" i="37"/>
  <c r="AA22" i="37"/>
  <c r="G12" i="37" s="1"/>
  <c r="Z13" i="37"/>
  <c r="BA13" i="37" s="1"/>
  <c r="O13" i="37"/>
  <c r="AM13" i="37"/>
  <c r="AD13" i="37"/>
  <c r="R13" i="37"/>
  <c r="T13" i="37"/>
  <c r="AU13" i="37" s="1"/>
  <c r="H11" i="37"/>
  <c r="O11" i="37"/>
  <c r="AO13" i="37"/>
  <c r="AG13" i="37"/>
  <c r="C32" i="43"/>
  <c r="L9" i="37"/>
  <c r="Q9" i="37"/>
  <c r="R11" i="37"/>
  <c r="AP11" i="37"/>
  <c r="M11" i="37"/>
  <c r="D12" i="37"/>
  <c r="AL11" i="37"/>
  <c r="W11" i="37"/>
  <c r="AX11" i="37" s="1"/>
  <c r="AM11" i="37"/>
  <c r="K11" i="32"/>
  <c r="D11" i="32"/>
  <c r="L8" i="26"/>
  <c r="X8" i="26" s="1"/>
  <c r="C16" i="36"/>
  <c r="C32" i="40"/>
  <c r="H16" i="47"/>
  <c r="P12" i="26" s="1"/>
  <c r="AB12" i="26" s="1"/>
  <c r="C16" i="33"/>
  <c r="G32" i="42"/>
  <c r="K12" i="26" s="1"/>
  <c r="W12" i="26" s="1"/>
  <c r="C32" i="42"/>
  <c r="C16" i="31"/>
  <c r="C32" i="45"/>
  <c r="H16" i="31"/>
  <c r="L11" i="26" s="1"/>
  <c r="X11" i="26" s="1"/>
  <c r="D9" i="33"/>
  <c r="H16" i="33"/>
  <c r="N11" i="26" s="1"/>
  <c r="Z11" i="26" s="1"/>
  <c r="X9" i="37"/>
  <c r="AY9" i="37" s="1"/>
  <c r="G36" i="34"/>
  <c r="O11" i="26" s="1"/>
  <c r="AA11" i="26" s="1"/>
  <c r="H16" i="46"/>
  <c r="O12" i="26" s="1"/>
  <c r="AA12" i="26" s="1"/>
  <c r="C17" i="32"/>
  <c r="C36" i="34"/>
  <c r="G32" i="40"/>
  <c r="J12" i="26" s="1"/>
  <c r="V12" i="26" s="1"/>
  <c r="J11" i="37"/>
  <c r="S11" i="37"/>
  <c r="AT11" i="37" s="1"/>
  <c r="Q21" i="37"/>
  <c r="AN11" i="37"/>
  <c r="X11" i="37"/>
  <c r="AY11" i="37" s="1"/>
  <c r="AO11" i="37"/>
  <c r="Q11" i="37"/>
  <c r="AJ11" i="37"/>
  <c r="L11" i="37"/>
  <c r="V11" i="37"/>
  <c r="AW11" i="37" s="1"/>
  <c r="Z11" i="37"/>
  <c r="BA11" i="37" s="1"/>
  <c r="AK11" i="37"/>
  <c r="AA11" i="37"/>
  <c r="BB11" i="37" s="1"/>
  <c r="AD11" i="37"/>
  <c r="Y11" i="37"/>
  <c r="AZ11" i="37" s="1"/>
  <c r="AF11" i="37"/>
  <c r="AG11" i="37"/>
  <c r="AH11" i="37"/>
  <c r="N11" i="37"/>
  <c r="AE11" i="37"/>
  <c r="AR11" i="37"/>
  <c r="H16" i="30"/>
  <c r="K11" i="26" s="1"/>
  <c r="W11" i="26" s="1"/>
  <c r="D8" i="6"/>
  <c r="F8" i="6" s="1"/>
  <c r="G8" i="6" s="1"/>
  <c r="J8" i="26"/>
  <c r="V8" i="26" s="1"/>
  <c r="D9" i="14"/>
  <c r="F9" i="14" s="1"/>
  <c r="G9" i="14" s="1"/>
  <c r="F14" i="14" s="1"/>
  <c r="D9" i="26" s="1"/>
  <c r="F9" i="26" s="1"/>
  <c r="D17" i="14"/>
  <c r="B25" i="25"/>
  <c r="G11" i="25"/>
  <c r="D25" i="25"/>
  <c r="D11" i="25"/>
  <c r="D9" i="25"/>
  <c r="B23" i="25"/>
  <c r="D23" i="25"/>
  <c r="G9" i="25"/>
  <c r="F9" i="37"/>
  <c r="D9" i="37"/>
  <c r="V9" i="37"/>
  <c r="AW9" i="37" s="1"/>
  <c r="G18" i="44"/>
  <c r="H18" i="44"/>
  <c r="B27" i="44" s="1"/>
  <c r="H27" i="44" s="1"/>
  <c r="B36" i="44" s="1"/>
  <c r="H36" i="44" s="1"/>
  <c r="D18" i="44"/>
  <c r="J18" i="44" s="1"/>
  <c r="D27" i="44" s="1"/>
  <c r="J27" i="44" s="1"/>
  <c r="D36" i="44" s="1"/>
  <c r="J36" i="44" s="1"/>
  <c r="R9" i="37"/>
  <c r="G10" i="25"/>
  <c r="B24" i="25"/>
  <c r="D24" i="25"/>
  <c r="D10" i="25"/>
  <c r="F13" i="37"/>
  <c r="D13" i="37"/>
  <c r="E9" i="41"/>
  <c r="P9" i="41" s="1"/>
  <c r="D9" i="41"/>
  <c r="G9" i="41"/>
  <c r="R9" i="41" s="1"/>
  <c r="K9" i="41"/>
  <c r="V9" i="41" s="1"/>
  <c r="I9" i="41"/>
  <c r="T9" i="41" s="1"/>
  <c r="K9" i="32"/>
  <c r="D9" i="32"/>
  <c r="K10" i="32"/>
  <c r="D10" i="32"/>
  <c r="F10" i="37"/>
  <c r="D10" i="37"/>
  <c r="F9" i="41"/>
  <c r="Q9" i="41" s="1"/>
  <c r="K8" i="32"/>
  <c r="W9" i="37" s="1"/>
  <c r="AX9" i="37" s="1"/>
  <c r="D8" i="32"/>
  <c r="C16" i="46"/>
  <c r="G16" i="44"/>
  <c r="H16" i="44"/>
  <c r="B25" i="44" s="1"/>
  <c r="H25" i="44" s="1"/>
  <c r="B34" i="44" s="1"/>
  <c r="H34" i="44" s="1"/>
  <c r="D16" i="44"/>
  <c r="J16" i="44" s="1"/>
  <c r="D25" i="44" s="1"/>
  <c r="J25" i="44" s="1"/>
  <c r="D34" i="44" s="1"/>
  <c r="J34" i="44" s="1"/>
  <c r="J9" i="41"/>
  <c r="U9" i="41" s="1"/>
  <c r="T9" i="37"/>
  <c r="AU9" i="37" s="1"/>
  <c r="Q19" i="37"/>
  <c r="Z9" i="37"/>
  <c r="BA9" i="37" s="1"/>
  <c r="O9" i="37"/>
  <c r="U9" i="37"/>
  <c r="AV9" i="37" s="1"/>
  <c r="M9" i="37"/>
  <c r="H9" i="37"/>
  <c r="G12" i="25"/>
  <c r="D12" i="25"/>
  <c r="B26" i="25"/>
  <c r="D26" i="25"/>
  <c r="C16" i="35"/>
  <c r="D10" i="35"/>
  <c r="Y9" i="37"/>
  <c r="AZ9" i="37" s="1"/>
  <c r="H17" i="44"/>
  <c r="B26" i="44" s="1"/>
  <c r="H26" i="44" s="1"/>
  <c r="B35" i="44" s="1"/>
  <c r="H35" i="44" s="1"/>
  <c r="D17" i="44"/>
  <c r="J17" i="44" s="1"/>
  <c r="D26" i="44" s="1"/>
  <c r="J26" i="44" s="1"/>
  <c r="D35" i="44" s="1"/>
  <c r="J35" i="44" s="1"/>
  <c r="G17" i="44"/>
  <c r="AG10" i="37"/>
  <c r="K10" i="37"/>
  <c r="M10" i="37"/>
  <c r="O10" i="37"/>
  <c r="U10" i="37"/>
  <c r="AV10" i="37" s="1"/>
  <c r="Y10" i="37"/>
  <c r="AZ10" i="37" s="1"/>
  <c r="AC10" i="37"/>
  <c r="AK10" i="37"/>
  <c r="AO10" i="37"/>
  <c r="AR10" i="37"/>
  <c r="T10" i="37"/>
  <c r="AU10" i="37" s="1"/>
  <c r="X10" i="37"/>
  <c r="AY10" i="37" s="1"/>
  <c r="H10" i="37"/>
  <c r="AH10" i="37"/>
  <c r="AL10" i="37"/>
  <c r="AE10" i="37"/>
  <c r="J10" i="37"/>
  <c r="L10" i="37"/>
  <c r="N10" i="37"/>
  <c r="R10" i="37"/>
  <c r="V10" i="37"/>
  <c r="AW10" i="37" s="1"/>
  <c r="W10" i="37"/>
  <c r="AX10" i="37" s="1"/>
  <c r="AA10" i="37"/>
  <c r="BB10" i="37" s="1"/>
  <c r="Q20" i="37"/>
  <c r="AI10" i="37"/>
  <c r="AM10" i="37"/>
  <c r="AP10" i="37"/>
  <c r="Q10" i="37"/>
  <c r="AF10" i="37"/>
  <c r="AN10" i="37"/>
  <c r="AQ10" i="37"/>
  <c r="S10" i="37"/>
  <c r="AT10" i="37" s="1"/>
  <c r="Z10" i="37"/>
  <c r="BA10" i="37" s="1"/>
  <c r="AJ10" i="37"/>
  <c r="AD10" i="37"/>
  <c r="P10" i="41"/>
  <c r="R10" i="41"/>
  <c r="J10" i="41"/>
  <c r="V10" i="41"/>
  <c r="H10" i="41"/>
  <c r="F10" i="41"/>
  <c r="I10" i="41"/>
  <c r="U10" i="41"/>
  <c r="W10" i="41"/>
  <c r="S10" i="41"/>
  <c r="Q10" i="41"/>
  <c r="T10" i="41"/>
  <c r="E10" i="41"/>
  <c r="K10" i="41"/>
  <c r="D10" i="41"/>
  <c r="G10" i="41"/>
  <c r="G14" i="41" s="1"/>
  <c r="H14" i="41"/>
  <c r="N37" i="44"/>
  <c r="K37" i="44"/>
  <c r="F16" i="24"/>
  <c r="M8" i="26"/>
  <c r="Y8" i="26" s="1"/>
  <c r="D11" i="6"/>
  <c r="F11" i="6" s="1"/>
  <c r="G11" i="6" s="1"/>
  <c r="R23" i="37"/>
  <c r="S23" i="37" s="1"/>
  <c r="T23" i="37" s="1"/>
  <c r="U23" i="37" s="1"/>
  <c r="V23" i="37" s="1"/>
  <c r="W23" i="37" s="1"/>
  <c r="X23" i="37" s="1"/>
  <c r="Y23" i="37" s="1"/>
  <c r="Z23" i="37" s="1"/>
  <c r="AA23" i="37"/>
  <c r="G13" i="37" s="1"/>
  <c r="G13" i="25"/>
  <c r="H16" i="25"/>
  <c r="D27" i="25"/>
  <c r="L13" i="25"/>
  <c r="D13" i="25"/>
  <c r="C16" i="25"/>
  <c r="B27" i="25"/>
  <c r="H20" i="44"/>
  <c r="B29" i="44" s="1"/>
  <c r="H29" i="44" s="1"/>
  <c r="B38" i="44" s="1"/>
  <c r="H38" i="44" s="1"/>
  <c r="G20" i="44"/>
  <c r="D20" i="44"/>
  <c r="J20" i="44" s="1"/>
  <c r="D29" i="44" s="1"/>
  <c r="J29" i="44" s="1"/>
  <c r="D38" i="44" s="1"/>
  <c r="J38" i="44" s="1"/>
  <c r="E24" i="24"/>
  <c r="D10" i="26" s="1"/>
  <c r="F10" i="26" s="1"/>
  <c r="D19" i="24"/>
  <c r="M16" i="24"/>
  <c r="W9" i="41" l="1"/>
  <c r="G18" i="41" s="1"/>
  <c r="D12" i="26" s="1"/>
  <c r="F12" i="26" s="1"/>
  <c r="K14" i="41"/>
  <c r="F14" i="41"/>
  <c r="E16" i="41" s="1"/>
  <c r="F12" i="6"/>
  <c r="D15" i="6" s="1"/>
  <c r="J14" i="41"/>
  <c r="R21" i="37"/>
  <c r="S21" i="37" s="1"/>
  <c r="T21" i="37" s="1"/>
  <c r="U21" i="37" s="1"/>
  <c r="V21" i="37" s="1"/>
  <c r="W21" i="37" s="1"/>
  <c r="X21" i="37" s="1"/>
  <c r="Y21" i="37" s="1"/>
  <c r="Z21" i="37" s="1"/>
  <c r="AA21" i="37"/>
  <c r="G11" i="37" s="1"/>
  <c r="H23" i="25"/>
  <c r="S9" i="37" s="1"/>
  <c r="AT9" i="37" s="1"/>
  <c r="G23" i="25"/>
  <c r="J9" i="37" s="1"/>
  <c r="E14" i="41"/>
  <c r="K34" i="44"/>
  <c r="N34" i="44"/>
  <c r="N36" i="44"/>
  <c r="K36" i="44"/>
  <c r="H26" i="25"/>
  <c r="G26" i="25"/>
  <c r="H24" i="25"/>
  <c r="G24" i="25"/>
  <c r="H25" i="25"/>
  <c r="G25" i="25"/>
  <c r="I14" i="41"/>
  <c r="N35" i="44"/>
  <c r="N44" i="44" s="1"/>
  <c r="M12" i="26" s="1"/>
  <c r="Y12" i="26" s="1"/>
  <c r="K35" i="44"/>
  <c r="H32" i="25"/>
  <c r="C32" i="25"/>
  <c r="AA20" i="37"/>
  <c r="G10" i="37" s="1"/>
  <c r="R20" i="37"/>
  <c r="J11" i="26"/>
  <c r="V11" i="26" s="1"/>
  <c r="N38" i="44"/>
  <c r="K38" i="44"/>
  <c r="G27" i="25"/>
  <c r="H27" i="25"/>
  <c r="N12" i="24"/>
  <c r="E12" i="24" s="1"/>
  <c r="F12" i="24" s="1"/>
  <c r="N14" i="24"/>
  <c r="E14" i="24" s="1"/>
  <c r="N11" i="24"/>
  <c r="E11" i="24" s="1"/>
  <c r="N13" i="24"/>
  <c r="E13" i="24" s="1"/>
  <c r="N10" i="24"/>
  <c r="E10" i="24" s="1"/>
  <c r="N9" i="24"/>
  <c r="E9" i="24" s="1"/>
  <c r="N15" i="24"/>
  <c r="E15" i="24" s="1"/>
  <c r="N8" i="24"/>
  <c r="D8" i="26" l="1"/>
  <c r="F8" i="26" s="1"/>
  <c r="AD9" i="37"/>
  <c r="AE9" i="37"/>
  <c r="AC9" i="37"/>
  <c r="R19" i="37"/>
  <c r="S19" i="37" s="1"/>
  <c r="T19" i="37" s="1"/>
  <c r="U19" i="37" s="1"/>
  <c r="V19" i="37" s="1"/>
  <c r="W19" i="37" s="1"/>
  <c r="X19" i="37" s="1"/>
  <c r="S20" i="37"/>
  <c r="I2" i="26"/>
  <c r="E8" i="24"/>
  <c r="N16" i="24"/>
  <c r="AQ9" i="37" l="1"/>
  <c r="AP9" i="37"/>
  <c r="R24" i="37"/>
  <c r="AF9" i="37"/>
  <c r="AG9" i="37" s="1"/>
  <c r="AL9" i="37" s="1"/>
  <c r="AH9" i="37"/>
  <c r="T20" i="37"/>
  <c r="S24" i="37"/>
  <c r="Y19" i="37"/>
  <c r="F8" i="24"/>
  <c r="E16" i="24"/>
  <c r="AI9" i="37" l="1"/>
  <c r="AJ9" i="37"/>
  <c r="AO9" i="37"/>
  <c r="AK9" i="37"/>
  <c r="AN9" i="37"/>
  <c r="AM9" i="37"/>
  <c r="U20" i="37"/>
  <c r="T24" i="37"/>
  <c r="Z19" i="37"/>
  <c r="AR9" i="37" l="1"/>
  <c r="V20" i="37"/>
  <c r="U24" i="37"/>
  <c r="AA19" i="37"/>
  <c r="W20" i="37" l="1"/>
  <c r="V24" i="37"/>
  <c r="AA24" i="37"/>
  <c r="G16" i="37" s="1"/>
  <c r="D11" i="26" s="1"/>
  <c r="F11" i="26" s="1"/>
  <c r="G9" i="37"/>
  <c r="J20" i="26" l="1"/>
  <c r="J22" i="26"/>
  <c r="J19" i="26"/>
  <c r="J18" i="26"/>
  <c r="J21" i="26"/>
  <c r="X20" i="37"/>
  <c r="W24" i="37"/>
  <c r="Y20" i="37" l="1"/>
  <c r="X24" i="37"/>
  <c r="Z20" i="37" l="1"/>
  <c r="Z24" i="37" s="1"/>
  <c r="Y24" i="3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Jürgen Neubarth</author>
  </authors>
  <commentList>
    <comment ref="I13" authorId="0" shapeId="0" xr:uid="{00000000-0006-0000-0200-000001000000}">
      <text>
        <r>
          <rPr>
            <sz val="9"/>
            <color rgb="FF000000"/>
            <rFont val="Verdana"/>
            <family val="2"/>
          </rPr>
          <t>Dužina dionice vodotoka koja se nalazi pod uticajem</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G7" authorId="0" shapeId="0" xr:uid="{0A257C00-0229-6842-B5D8-8D7230B9B797}">
      <text>
        <r>
          <rPr>
            <sz val="10"/>
            <color rgb="FF000000"/>
            <rFont val="Tahoma"/>
            <family val="2"/>
          </rPr>
          <t>Ako nema akumulacije, unesite ''0''</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AF8" authorId="0" shapeId="0" xr:uid="{00000000-0006-0000-2300-000001000000}">
      <text>
        <r>
          <rPr>
            <sz val="12"/>
            <color rgb="FF000000"/>
            <rFont val="Calibri"/>
            <family val="2"/>
          </rPr>
          <t>Srednji težinski udio kriterija, koji su ocjenjeni kao ''veoma osjeteljivi"</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Microsoft Office User</author>
  </authors>
  <commentList>
    <comment ref="C18" authorId="0" shapeId="0" xr:uid="{00000000-0006-0000-2B00-000001000000}">
      <text>
        <r>
          <rPr>
            <sz val="10"/>
            <color rgb="FF000000"/>
            <rFont val="Calibri"/>
            <family val="2"/>
          </rPr>
          <t xml:space="preserve">
</t>
        </r>
        <r>
          <rPr>
            <sz val="10"/>
            <color rgb="FF000000"/>
            <rFont val="Calibri"/>
            <family val="2"/>
          </rPr>
          <t>Srednja vrijednost bodovonja kriterija ako nijedan kriterij nije dobio ocjenu 0, u suprotnom ocjena 1 ako je 1 kriterij dobio ocjenu 0, ako su dva kriterija dobila ocjenu 0 onda je ukupna ocjena 0,5 te ako je više od dva kriterija dobilo ocjenu 0 onda je ukupna ocjena 0.</t>
        </r>
      </text>
    </comment>
  </commentList>
</comments>
</file>

<file path=xl/sharedStrings.xml><?xml version="1.0" encoding="utf-8"?>
<sst xmlns="http://schemas.openxmlformats.org/spreadsheetml/2006/main" count="1069" uniqueCount="530">
  <si>
    <t>/</t>
  </si>
  <si>
    <t>*</t>
  </si>
  <si>
    <t>=</t>
  </si>
  <si>
    <t>Criterion</t>
  </si>
  <si>
    <t>Result of evaluation</t>
  </si>
  <si>
    <t>Drop-down selection</t>
  </si>
  <si>
    <t>≥ eTE &gt;</t>
  </si>
  <si>
    <t>eTE &gt;</t>
  </si>
  <si>
    <t>n.a.</t>
  </si>
  <si>
    <t>&gt; eNet ≥</t>
  </si>
  <si>
    <t>&gt; eNet</t>
  </si>
  <si>
    <t>eNet ≥</t>
  </si>
  <si>
    <t>&gt; Qi/MQ ≥</t>
  </si>
  <si>
    <t>Qi/MQ ≥</t>
  </si>
  <si>
    <t>&gt; H/L</t>
  </si>
  <si>
    <t>&gt; H/L ≥</t>
  </si>
  <si>
    <t>H/L ≥</t>
  </si>
  <si>
    <t>x</t>
  </si>
  <si>
    <t>≥ wEff &gt;</t>
  </si>
  <si>
    <t>wEff &gt;</t>
  </si>
  <si>
    <t>&lt; 5,000</t>
  </si>
  <si>
    <t>5,000-7,500</t>
  </si>
  <si>
    <t>7,500-10,000</t>
  </si>
  <si>
    <t>10,000-20,000</t>
  </si>
  <si>
    <t>&gt; 20,000</t>
  </si>
  <si>
    <t>Definition of interval</t>
  </si>
  <si>
    <t>dummy</t>
  </si>
  <si>
    <t>**</t>
  </si>
  <si>
    <t>***</t>
  </si>
  <si>
    <t>weighting</t>
  </si>
  <si>
    <t>Boundaries for assessment</t>
  </si>
  <si>
    <t>&lt;50 km2</t>
  </si>
  <si>
    <t>50-100 km2</t>
  </si>
  <si>
    <t>&gt;100 km2</t>
  </si>
  <si>
    <t>--&gt;</t>
  </si>
  <si>
    <t>"n.a."</t>
  </si>
  <si>
    <t>&gt; eCO2 ≥</t>
  </si>
  <si>
    <t>eCO2 ≥</t>
  </si>
  <si>
    <t>Opšte informacije</t>
  </si>
  <si>
    <t>Ulazne ćelije su označene smeđo-žutom bojom</t>
  </si>
  <si>
    <t>Rezultati su označeni plavom bojom</t>
  </si>
  <si>
    <t>Pregled ocjena MHE:</t>
  </si>
  <si>
    <t>Stručno poglavlje</t>
  </si>
  <si>
    <t>Energetika</t>
  </si>
  <si>
    <t>Upravljanje vodama</t>
  </si>
  <si>
    <t>Ekologija voda</t>
  </si>
  <si>
    <t>Zaštita prirode</t>
  </si>
  <si>
    <t>Status procjene (zeleno = ocijenjeno; crveno = u toku)</t>
  </si>
  <si>
    <t>Kriterij 1</t>
  </si>
  <si>
    <t>Kriterij  2</t>
  </si>
  <si>
    <t>Kriterij  3</t>
  </si>
  <si>
    <t>Kriterij  4</t>
  </si>
  <si>
    <t>Kriterij  5</t>
  </si>
  <si>
    <t>Kriterij  6</t>
  </si>
  <si>
    <t>Kriterij  7</t>
  </si>
  <si>
    <t>Kriterij  8</t>
  </si>
  <si>
    <t>Prostorno planiranje</t>
  </si>
  <si>
    <t>Rezultat</t>
  </si>
  <si>
    <t>Zeleno</t>
  </si>
  <si>
    <t>Narandžasto</t>
  </si>
  <si>
    <t>Crveno</t>
  </si>
  <si>
    <t>Os</t>
  </si>
  <si>
    <t>Pomoćna tabela</t>
  </si>
  <si>
    <t>Prostorno uređenje</t>
  </si>
  <si>
    <t>Unesite kvantitativne podatke za oblasti energetike i upravljanja vodama</t>
  </si>
  <si>
    <t>Projekat</t>
  </si>
  <si>
    <t>Instalisana snaga (kWel)</t>
  </si>
  <si>
    <t>Predviđena godišnja proizvodnja (MWh/a)</t>
  </si>
  <si>
    <t xml:space="preserve">Broj vodnih tijela pod uticajem projekta </t>
  </si>
  <si>
    <t>Bruto pad (m)</t>
  </si>
  <si>
    <t>Središnji godišnji protok(m3/s)</t>
  </si>
  <si>
    <t>Instalisani protok(m3/s)</t>
  </si>
  <si>
    <t>Derivaciona MHE (da/ne)</t>
  </si>
  <si>
    <t>br.</t>
  </si>
  <si>
    <t>Ime vodnog tijela</t>
  </si>
  <si>
    <t>dužina (m)</t>
  </si>
  <si>
    <t>Ukupna dužina vodotoka koje se nalazi pod uticajem</t>
  </si>
  <si>
    <t>Ocjena  "Eliminatornih kriterija"</t>
  </si>
  <si>
    <t>Stručna oblast</t>
  </si>
  <si>
    <t>Kriterij</t>
  </si>
  <si>
    <t>Ocjena</t>
  </si>
  <si>
    <t>Dostavljena ispravna hidrološka studija</t>
  </si>
  <si>
    <t>Izaberite</t>
  </si>
  <si>
    <t>da</t>
  </si>
  <si>
    <t>ne</t>
  </si>
  <si>
    <t xml:space="preserve">Vrijednosti za paukovu mrežu </t>
  </si>
  <si>
    <t>ocijenite</t>
  </si>
  <si>
    <t>Rezultat ocjene</t>
  </si>
  <si>
    <t>specifična investicija</t>
  </si>
  <si>
    <t>Granice kriterija (KM/kWh)</t>
  </si>
  <si>
    <t>Stručna oblast Energetika: Kriterij 2 "Doprinos zaštiti klime"</t>
  </si>
  <si>
    <t>Specifična emisija C02 u BiH</t>
  </si>
  <si>
    <t>Dodatni parametar za ocjenu</t>
  </si>
  <si>
    <t xml:space="preserve">Ukupna emisija CO2 </t>
  </si>
  <si>
    <t>Grancije kriterija (tCO2/a)</t>
  </si>
  <si>
    <t>Stručna oblast Energetika: Kriterij 1 "Specifična investicija"</t>
  </si>
  <si>
    <t>specifična dužina priključka na mrežu</t>
  </si>
  <si>
    <t>Nema sinergije</t>
  </si>
  <si>
    <t xml:space="preserve">Dodatni parametri koje je potrebni unijeti za navedenu MHE </t>
  </si>
  <si>
    <t>Povećana/smanjena proizvodnja u drugim MHE</t>
  </si>
  <si>
    <t>Sposobnost regulacije snage</t>
  </si>
  <si>
    <t>Sigurnost opskrbe</t>
  </si>
  <si>
    <t>Doprinos lokalnim/regionalnim projektima prijateljskog okruženja</t>
  </si>
  <si>
    <t>Utjecaj na rad drugih elektrana</t>
  </si>
  <si>
    <t>Sinergija s postojećim postrojenjem</t>
  </si>
  <si>
    <t>MHE omogućava reverzibilan rad</t>
  </si>
  <si>
    <t>MHE uključena u regulaciju snage od strane operatora</t>
  </si>
  <si>
    <t>Elektrana ima sposobnost otočnog rada</t>
  </si>
  <si>
    <t>Ocjena kriterija "dodatni efekti / sinergije"</t>
  </si>
  <si>
    <t>Utjecaj na rad drugih HE</t>
  </si>
  <si>
    <t>5 - 10% povećanja proizvodnja u drugim MHE</t>
  </si>
  <si>
    <t>-5% - +5% promjena u proizvodnji u drugim MHE</t>
  </si>
  <si>
    <t>5 - 10% smanjena proizvodnja u drugim MHE</t>
  </si>
  <si>
    <t>≥10% smanjena proizvodnja u drugim MHE</t>
  </si>
  <si>
    <t>≥10% povećana proizvodnja u drugim MHE</t>
  </si>
  <si>
    <t>Sinergije sa dijelovima postojećih postrojenja</t>
  </si>
  <si>
    <t>Moguće koristiti postojeću akumulaciju ili izlazni kanal postojeće MHE umjesto vodozahvata</t>
  </si>
  <si>
    <t>Izgradnja dodatnog derivacionog kanala/cjevovoda u sistemu, ali bez akumulacije, vodozahvata ili strojare</t>
  </si>
  <si>
    <t>da/ne podkriterij (Dodatno korištenje kao reverzibilnih elektrana, sposobnost regulacije snage i sigurnost opskrbe)</t>
  </si>
  <si>
    <t>5%-15%  investicije se izdvaja za projekte prijateljskog okruženja</t>
  </si>
  <si>
    <t>≥ 15% investicije se izdvaja za projekte prijateljskog okruženja</t>
  </si>
  <si>
    <t>Doprinos lokalnim/energetskim programima - udio lokalne zajednice</t>
  </si>
  <si>
    <t>bodovanje</t>
  </si>
  <si>
    <t>Ukupna ocjena*</t>
  </si>
  <si>
    <t>Lokalna zajednica i građani imaju 10  to &lt;50% udjela u vlasništvu MHE</t>
  </si>
  <si>
    <t>Lokalna zajednica i građani imaju  0  do  &lt;10%  udjela u vlasništvu MHE</t>
  </si>
  <si>
    <t>Lokalna zajednica i građani imaju  ≥ 50 % udjela u vlasništvu MHE</t>
  </si>
  <si>
    <t>Rezultat ocjene podkriterija  " Utjecaj na rad drugih MHE"</t>
  </si>
  <si>
    <t>Sažetak ocjene podkriterija</t>
  </si>
  <si>
    <t>Mogućnost sinergije sa dijelovima postojećih postrojenja</t>
  </si>
  <si>
    <t>Mogućnost Dodatnog korištenja kao reverzibilnih elektrana</t>
  </si>
  <si>
    <t>Rezultat ocjene podkriterija "Sinergija sa dijelovima postojećih postrojenja"</t>
  </si>
  <si>
    <t>Rezultat ocjene podkriterija "Dodatno korištenje kao reverzibilnih elektrana"</t>
  </si>
  <si>
    <t>Rezultat ocjene podkriterija "Sposobnost regulacije snage"</t>
  </si>
  <si>
    <t>Rezultat ocjene podkriterija "Sigurnost opskrbe"</t>
  </si>
  <si>
    <t>Rezultat ocjene podkriterija "Doprinos lokalnim/regionalnim energetskim programima "</t>
  </si>
  <si>
    <t>b) Udio lokalne zajednice i građana  u vlasništvu MHE</t>
  </si>
  <si>
    <t>Udio u projektima prijateljskog okruženja</t>
  </si>
  <si>
    <t>Doprinos lokalnim/energetskim programima - udio u vlasništvu lokalne zajednice</t>
  </si>
  <si>
    <t>a) Dio investicije se izdvaja za projekte prijateljskog okruženja</t>
  </si>
  <si>
    <t>Stručna oblast Energetika: Ukupna ocjena</t>
  </si>
  <si>
    <t>1. Specifična investicija</t>
  </si>
  <si>
    <t>2. Doprinos zaštiti klime</t>
  </si>
  <si>
    <t>4. Dodatni efekti/ sinergije</t>
  </si>
  <si>
    <t>Ocjena kriterija</t>
  </si>
  <si>
    <t>Težinski udio</t>
  </si>
  <si>
    <t>Težinska ocjena</t>
  </si>
  <si>
    <t>Stručna oblast Upravljanje vodama: Kriterij 1 "Stepen iskorištenosti hidroenergetskog potencijala"</t>
  </si>
  <si>
    <t>Definicija intervala</t>
  </si>
  <si>
    <t>Ukupna ocjena</t>
  </si>
  <si>
    <t>Ocjena stručnog poglavlja</t>
  </si>
  <si>
    <t>Izgradnja MHE unutar zaštićene zone kulturnog dobra</t>
  </si>
  <si>
    <t>Postignut ekološki prihvatljiv protok</t>
  </si>
  <si>
    <t>Refernta mjesta utvrđena na vodnom tijelu</t>
  </si>
  <si>
    <t>Iskoristivi potencijal iskorišten u vrlo malom obimu, na način da se preostali hidroenergetski potencijal ne može dalje koristiti</t>
  </si>
  <si>
    <t>Iskoristiv potencijal iskorišten u malom obimu sa ozbiljnim smetnjama za iskorištavanje preostalog hidroenergetskog potencijala</t>
  </si>
  <si>
    <t>Iskoristivi potencijal je samo djelimično iskorišten i buduća upotreba hidroenergetskog potencijala je moguća, ali na način koji ima malo smisla i koji je daleko udaljen od optimuma</t>
  </si>
  <si>
    <t>Iskoristivi potencijal je djelomično iskorišten i to na način da je moguć budući značajniji obim iskorištenja preostalog hidroenergetskog potencijala, ali ne i maksmalni raspoloživi</t>
  </si>
  <si>
    <t>Iskoristivi potencijal je samo pracijalno iskorišten, ali na način da se buduća optimalna upotreba može djelomično postići bez pravljenja značajnijih kompromisa</t>
  </si>
  <si>
    <t>Iskoristivi potencijal je ili iskorišten u potpunosti ili postoji mogućnost da se preostali potencijal ikoristi u cjelosti</t>
  </si>
  <si>
    <t>Stručna oblast Upravljanje vodama: Kriterij 2 " Karakteristike hidroelektrane"</t>
  </si>
  <si>
    <t>Stepen instalisanosti</t>
  </si>
  <si>
    <t>B)Trajanje prekoračenja</t>
  </si>
  <si>
    <t>C) Odnos pada i dužine dovoda pogonske vode (Primjenjljivo samo za derivacione MHE)</t>
  </si>
  <si>
    <t>Odnos pada i dužine</t>
  </si>
  <si>
    <t>Trajanje prekoračenja izraženo u danima tokom jedne godine (unijeti broj dana p.g.)</t>
  </si>
  <si>
    <t>Težinski faktor različitih indikatora (podkriterij)</t>
  </si>
  <si>
    <t>A) Stepen instalisanosti hidroelektrane</t>
  </si>
  <si>
    <t>Derivacione HE</t>
  </si>
  <si>
    <t>Pribranske HE</t>
  </si>
  <si>
    <t>B) Trajanje prekoračenja</t>
  </si>
  <si>
    <t>C)Odnos pada i dužine dovoda pogonske vode</t>
  </si>
  <si>
    <t>Stepen iskorištenosti hidroelektrane</t>
  </si>
  <si>
    <t>A) Stepen iskorištenosti hidroelektrane</t>
  </si>
  <si>
    <t>Granice kriterija (bezdimenzionalno)</t>
  </si>
  <si>
    <t>Trajanje prekoračeja</t>
  </si>
  <si>
    <t>Odnos pada i dužine dovoda pogonske vode</t>
  </si>
  <si>
    <t>&gt; dana/g ≥</t>
  </si>
  <si>
    <t>dana/g ≥</t>
  </si>
  <si>
    <t>Efikasnost rada</t>
  </si>
  <si>
    <t>Granice kriterija (m/GWh)</t>
  </si>
  <si>
    <t>Utjecaj na drugu MHE</t>
  </si>
  <si>
    <t>Stručna oblast Energetika: Kriterij 4 "Dodatni efekti / Sinergije"</t>
  </si>
  <si>
    <t>MHE se nalazi u gusto naseljenom području, vodno tijelo koriste drugi korisnici (ribogojilišta, poljoprivrednici i sl.)) u zoni rizika nalaze se i druge građevine</t>
  </si>
  <si>
    <t>MHE se nalazi u naseljenom području bez prisutnosti drugih korisnika vodnog tijela (ribogojilišta, poljoprivrednici, i sl.), u zoni rizika nalaze se i druge građevine</t>
  </si>
  <si>
    <t>MHE se nalazi u naseljenom bez prisutnosti drugih korisnika vodnog tijela, u zoni rizika nalaze se i druge građevine</t>
  </si>
  <si>
    <t>Značajno negativna promjena u odnosu na trenutno stanje sa nedovoljnim omjerom razrjeđivanja</t>
  </si>
  <si>
    <t>Sigurna negativna promjena u usporedbi sa stvarnim stanjem s pogoršanjem omjera razrjeđivanja</t>
  </si>
  <si>
    <t>Tendencija negativnih promjena u odnosu na stvarno stanje bez praktičnih učinaka na omjer razrjeđivanja</t>
  </si>
  <si>
    <t>Nema promjene u odnosu na trenutno stanje ili bez emisija</t>
  </si>
  <si>
    <t>Tendencija da se pozitivno promijeni stvarno stanje, npr. izjednačavajući minimalni proticaj</t>
  </si>
  <si>
    <t>Sigurna pozitivna promjena trenutnog stanja, npr. povećanjem minimalnog proticaja u slučaju promjena u periodu ljeto – zima.</t>
  </si>
  <si>
    <t>Prekid prihranjivanja podzemnih voda sa značajnim negativnim posljedicama</t>
  </si>
  <si>
    <t>Povremeni prekid prihranjivanja podzemne vode sa jasnim negativnim posljedicama</t>
  </si>
  <si>
    <t>Povremeni prekid prihranjivanja podzemnih voda sa jedva primjetnim negativnim posljedicama</t>
  </si>
  <si>
    <t>Bez utjecaja na trenutno stanje</t>
  </si>
  <si>
    <t>Nema prisustva podzemnih voda</t>
  </si>
  <si>
    <t>Pozitivan utjecaj na režim podzemnih voda</t>
  </si>
  <si>
    <t>Stručna oblast Prostorno planiranje: Kriterij 1 "Prostorno - planska dokumentacija"</t>
  </si>
  <si>
    <t>Nije primjenjivo</t>
  </si>
  <si>
    <t>Planski osnov isključivo u stručnom mišljenju/stručnom mišljenju i urbanističko – tehničkim uvjetima</t>
  </si>
  <si>
    <t>Planski osnov u entitetskom prostornom planu</t>
  </si>
  <si>
    <t>Planski osnov u kantonalnom prostornom planu ili zajedničkom prostornom planu za teritorije dvije ili više jedinica lokalne samouprave</t>
  </si>
  <si>
    <t>Planski osnov u prostornom planu jedinice lokalne samouprave</t>
  </si>
  <si>
    <t>Planski osnov u sprovedbenom dokumentu prostornog uređenja/detaljnom planskom dokumentu</t>
  </si>
  <si>
    <t>Stručna oblast Prostorno Planiranje: Kriterij 2 "Direktno korištenje tekućih voda"</t>
  </si>
  <si>
    <t>≥2 korištenja vode/km dužine vodnog tijela pod utjecajem MHE</t>
  </si>
  <si>
    <t>1.3 – 2 korištenja vode/km dužine vodnog tijela pod utjecajem MHE</t>
  </si>
  <si>
    <t>0.5 – 1.3 korištenja vode/km dužine vodnog tijela pod utjecajem MHE</t>
  </si>
  <si>
    <t>0 – 0.5 korištenja vode/km dužine vodnog tijela pod utjecajem MHE</t>
  </si>
  <si>
    <t>Nema korištenja vode</t>
  </si>
  <si>
    <t>Stručna oblast Prostorno planiranje: Kriterij 3 "Infrastruktura"</t>
  </si>
  <si>
    <t>Nije primjenjljivo</t>
  </si>
  <si>
    <t>Izraženo negativni efekti, npr. dugoročne negativne posljedice (kvalitativna procjena)</t>
  </si>
  <si>
    <t>Negativni efekti, npr. zbog privremenih negativnih posljedica</t>
  </si>
  <si>
    <t>Nema značajnih efekata, međutim kriterij je pogođen projektom (kvalitativna procjena)</t>
  </si>
  <si>
    <t>Pozitivni efekti, npr. poboljšanja (kvalitativna procjena)</t>
  </si>
  <si>
    <t>Izraženo pozitivni efekti, npr. zbog dugoročno pozitivnih učinaka (kvalitativna procjena)</t>
  </si>
  <si>
    <t>Stručna oblast Prostorno planiranje: Kriterij 4 "Poljoprivreda"</t>
  </si>
  <si>
    <t>Učešće poljoprivrednog zemljišta I - IV katastarske klase iznad 50 %</t>
  </si>
  <si>
    <t>Učešće poljoprivrednog zemljišta I - IV katastarske klase 25 – 50 %</t>
  </si>
  <si>
    <t>Učešće poljoprivrednog zemljišta I - IV katastarske klase ispod 25 %</t>
  </si>
  <si>
    <t>Isključivo poljoprivredno zemljište V - VIII katastarske klase</t>
  </si>
  <si>
    <t>Bez poljoprivrednog zemljišta</t>
  </si>
  <si>
    <t>Stručna oblast Prostorno planiranje: Kriterij 5 "Šumarstvo"</t>
  </si>
  <si>
    <t>Učešće šumskog zemljišta I - IV katastarske klase iznad 50 %</t>
  </si>
  <si>
    <t>Učešće šumskog zemljišta I - IV katastarske klase 25 – 50 %</t>
  </si>
  <si>
    <t>Učešće šumskog zemljišta I - IV katastarske klase ispod 25 %</t>
  </si>
  <si>
    <t>Isključivo šumsko zemljište V - VIII katastarske klase</t>
  </si>
  <si>
    <t>Bez šumskog zemljišta</t>
  </si>
  <si>
    <t>Enklavski položaj obuhvata MHE unutar većih šumskih kompleksa snižava ocjene 2, 3 i 4 za jedan bod.</t>
  </si>
  <si>
    <t>Izgradnja male hidroelektrane unutar zaštitne zone kulturnog dobra</t>
  </si>
  <si>
    <t>Mogućnost ocjene kriterija</t>
  </si>
  <si>
    <t>Da li je Kulturno dobro  uopšte pod uticajem MHE?</t>
  </si>
  <si>
    <t>Snažni negativni efekti na kulturno dobro</t>
  </si>
  <si>
    <t>Negativni efekti na kulturno dobro</t>
  </si>
  <si>
    <t>Neutralni efekti na kulturno dobro</t>
  </si>
  <si>
    <t>Pozitivni efekti na kulturno dobro</t>
  </si>
  <si>
    <t>Veoma pozitivni efekti na kulturno dobro</t>
  </si>
  <si>
    <t>Stručna oblast Prostorno planiranje: Kriteri 6 "Kulturna dobra"</t>
  </si>
  <si>
    <t>Stručna oblast Prostorno planiranje: Kriterij 7 "Turizam"</t>
  </si>
  <si>
    <t>Da li je turistička infrastruktura  uopšte pod uticajem MHE?</t>
  </si>
  <si>
    <t>Godišnja koncesiona naknada - KM</t>
  </si>
  <si>
    <t>MHE instalisane snage ispod 250 kW u RS se ocjenjuju sa 1, pošto se za njih ne naplaćuje koncesiona naknada.</t>
  </si>
  <si>
    <t>Stručna oblast Prostorno planiranje: Ukupna ocjena</t>
  </si>
  <si>
    <t>Primjenjeni težinski udio</t>
  </si>
  <si>
    <t>Težinski udio kriterija</t>
  </si>
  <si>
    <t>1. Prostorno planska dokumentacija</t>
  </si>
  <si>
    <t>2. Direktno korištenje tekućih voda</t>
  </si>
  <si>
    <t>3. Infrastruktura</t>
  </si>
  <si>
    <t>4. Poljoprivreda</t>
  </si>
  <si>
    <t>5. Šumarstvo</t>
  </si>
  <si>
    <t>6. Kulturna dobra</t>
  </si>
  <si>
    <t>7. Turizam</t>
  </si>
  <si>
    <t>Ukupna ocjena (opseg 1-5 )</t>
  </si>
  <si>
    <t xml:space="preserve">Pretvaranje rezultata u opsg ocjene od  0 do 5 </t>
  </si>
  <si>
    <t>Ukupna ocjena (opesg 0-5 )</t>
  </si>
  <si>
    <t>od maksimalne moguće ocjene</t>
  </si>
  <si>
    <t>Stručna oblast Ekologija voda: Kriterij 1 "Hidromorfologija"</t>
  </si>
  <si>
    <t xml:space="preserve">Dužina V.T. </t>
  </si>
  <si>
    <t>Težinski udio hidromorfologije</t>
  </si>
  <si>
    <t>Ukupna dužina vodnih tijela pod uticajem</t>
  </si>
  <si>
    <t>Ocjena hidromorfološkog statusa vodnih tijela na području FBiH i RS</t>
  </si>
  <si>
    <t>Dionice vodnog tijela sa visokim statusom iznose  &lt; 20% ukupne dužine određenog tipa vodnog tijela vodotoka na području FBiH odnosno RS</t>
  </si>
  <si>
    <t xml:space="preserve">Dionice vodnog tijela sa visokim statusom iznose  &gt;20% ukupne dužine određenog tipa vodnog	 tijela vodotoka na području FBiH odnosno RS </t>
  </si>
  <si>
    <t>Ocjena kriterija hidromorfologija</t>
  </si>
  <si>
    <t>Kvalitet hidromorfološke strukture vodnog tijela Klasa 1- prirodno stanje, na dužini od minimalno 1 km ( ili ukupnoj dužini za vodna tijela &lt;1 km)</t>
  </si>
  <si>
    <t xml:space="preserve">Kvalitet hidromorfološke strukture Klasa 1- prirodno stanje, na dužini od samo 500 m, </t>
  </si>
  <si>
    <t>Kvalitet hidromorfološke strukture Klasa 2- neznatno izmijenjeno stanje, na dužini od &gt;500 m</t>
  </si>
  <si>
    <t>Kvalitet hidromorfološke strukture Klase 3 -5 (Umjereno izmijenjeno do Jako izmijenjeno) na dužini od &gt;0,5 km</t>
  </si>
  <si>
    <t>Veoma osjetljivo</t>
  </si>
  <si>
    <t>Osjetljivo</t>
  </si>
  <si>
    <t>nisko do srednje osjetljivo</t>
  </si>
  <si>
    <t>Broj V.T.</t>
  </si>
  <si>
    <t>Ocjena hidromorfološkog stanja</t>
  </si>
  <si>
    <t>Težinski udjeli</t>
  </si>
  <si>
    <t>Stručna oblast Ekologija voda: Kriterij 2 "Ekološki status"</t>
  </si>
  <si>
    <t>Ekološki status vodnog tijela je visok (da/ne)?</t>
  </si>
  <si>
    <t>Ocjena kriterija Ekološki status</t>
  </si>
  <si>
    <t>Stručna oblast Ekologija voda: Kriterij 3 "Površina sliva"</t>
  </si>
  <si>
    <t>Broj V.T:</t>
  </si>
  <si>
    <t>Ime V.T.</t>
  </si>
  <si>
    <t>Površina sliva MHE (km2)</t>
  </si>
  <si>
    <t>Ocjena kriterija površina sliva</t>
  </si>
  <si>
    <t>Projekt na slivu površine &lt;10 km2</t>
  </si>
  <si>
    <t>Projekat na slivu 10 – 30 km2</t>
  </si>
  <si>
    <t>Projekat na slivu većem od 30 km2</t>
  </si>
  <si>
    <t>Posebni tipovi vodnog tijela</t>
  </si>
  <si>
    <t>Obilježja posebnih tipova vodnih tijela</t>
  </si>
  <si>
    <t>Mali planinski vodotoci na nadmorskom visinom &gt;800 m (tipovi definisani Planovima upravljanja vodama FBiH i RS</t>
  </si>
  <si>
    <t xml:space="preserve">Izlazni tok iz jezera (uopćeno), </t>
  </si>
  <si>
    <t>Potoci iz tresetišta,</t>
  </si>
  <si>
    <t>Izvorišna voda i vodna tijela obilježena podzemnim vodama  (vrela, rukavci, izvorišni potoci),</t>
  </si>
  <si>
    <t>Termalni potoci</t>
  </si>
  <si>
    <t xml:space="preserve">Dionice infiltracije bez ugrožavanja površinskog vodenog tijela    </t>
  </si>
  <si>
    <t>Podzemne rijeke sa negativnim uticajem na podzemna vodna tijela</t>
  </si>
  <si>
    <t>Osjetiljivost</t>
  </si>
  <si>
    <t>Nisko do srednje osjetljivo</t>
  </si>
  <si>
    <t>Posebne vrste obilježja</t>
  </si>
  <si>
    <t>Nema posebnih vrsta obilježja</t>
  </si>
  <si>
    <t>Meandri</t>
  </si>
  <si>
    <t>Razgranati tokovi</t>
  </si>
  <si>
    <t>Klanci (linija udara vode pretežno osnovna stijena)</t>
  </si>
  <si>
    <t>Sedrene barijere</t>
  </si>
  <si>
    <t>Vodopadi ≥ 10m</t>
  </si>
  <si>
    <t>Vodopadi &lt; 10 m</t>
  </si>
  <si>
    <t>Kanjoni</t>
  </si>
  <si>
    <t>Kaskade</t>
  </si>
  <si>
    <t>Stručna oblast Ekologija voda: Kriterij 5 "Postojanje mrijestilišta"</t>
  </si>
  <si>
    <t>Da li na dionici vodotoka pot uticajem projekta se nalazi prirodno riblje mrijestillište (Revir)? (da/ne)?</t>
  </si>
  <si>
    <t>Ocjena kriterija Postojanje mrijestilišta</t>
  </si>
  <si>
    <t>Stručna oblast Ekologija voda: Kriterij 6 "Putevi slobodnog toka"</t>
  </si>
  <si>
    <t>Ocjena kriterija Putevi slobodnog toka</t>
  </si>
  <si>
    <t>Veoma osjetljivo:</t>
  </si>
  <si>
    <t>Osjetljivo:</t>
  </si>
  <si>
    <t>Nisko do srednje osjetljivo:</t>
  </si>
  <si>
    <t>Dijeljenje dionice slobodnog toka izgradnjom više pregrada, na glavni vodotok (rang 1) i na njegove pritoke na udaljenosti od 2 km u odnosu na ušće pritoke u glavni vodotok. Presijecanje prirodnih migracionih puteva riba, stvaranje uspora na pritokama koje predstavljaju stanište za određene vrste ribe i kojima izmjena režima tečenja vode pod usporom znači i izmjenu neophodnih stanišnih uvjeta.
Dužina neporemećenog slobodnog protoka je manja od 5 km na pritokama ranga 4 i 5 (RV 4-5) ili manja od 1 km na pritokama ranga 6 (RV 6)</t>
  </si>
  <si>
    <t>Dijeljenje dinioce jednom pregradom unutar 2 km, odnosno 1 km (ostale prioritetne vode). Dužina neporemećenog slobodnog protoka je veća od 5 km na pritokama ranga 4 i 5 (RV 4-5) ili veća od 1 km na pritokama ranga 6 (RV 6)</t>
  </si>
  <si>
    <t>Nema značajnijih promjena stanišnih uvjeta niti značajnije prepreke kretanju riba</t>
  </si>
  <si>
    <t>Stručna oblast Ekologija voda: Kriterij 7 "Toplotno zagađenje"</t>
  </si>
  <si>
    <t>Ocjena kriterija Toplotno zagađenje</t>
  </si>
  <si>
    <t>Toplotno zagađenje i utjecaj na biocenozu</t>
  </si>
  <si>
    <t>Totplotno zagađenje je izazvalo već prepoznatljive promjene biocenoze (npr. promjene uvjeta dominacije, pomicanje biocenotskog područja sa povišenim udjelima kod dubokih predjela rijeke).</t>
  </si>
  <si>
    <t>Toplotno zagađenje bez prepoznatljivih posljedica na biocenozu.</t>
  </si>
  <si>
    <t>Nema toplotnog zagađenja</t>
  </si>
  <si>
    <t>Stručna oblast Ekologija voda: Kriterij 8 "Veličina akumulacije"</t>
  </si>
  <si>
    <t xml:space="preserve">Veličina slivnog područja </t>
  </si>
  <si>
    <t>Velična akumulacije (m)</t>
  </si>
  <si>
    <t>Ocjena kriterija Veličina akumulacije</t>
  </si>
  <si>
    <t>Pomoćne vrijednosti za klasifikaciju u  km2</t>
  </si>
  <si>
    <t>Klasifikacija km2</t>
  </si>
  <si>
    <t>Klasifikacija m</t>
  </si>
  <si>
    <t>Veličina slivnog područja km2</t>
  </si>
  <si>
    <t>Veličina akumulacije</t>
  </si>
  <si>
    <t>Stručna oblast Ekologija voda: Ukupna ocjena</t>
  </si>
  <si>
    <t>Ukupno bodovanje za pojedinačno vodno tijelo koje je pod uticajem MHE</t>
  </si>
  <si>
    <t>Hidromorfologija</t>
  </si>
  <si>
    <t>Ekološki status</t>
  </si>
  <si>
    <t>Površina sliva</t>
  </si>
  <si>
    <t>Postojanje mrijestilišta</t>
  </si>
  <si>
    <t>Putevi slobodnog toka</t>
  </si>
  <si>
    <t>Toplotno zagađenje</t>
  </si>
  <si>
    <t>Pregled ocjene po kriterijima</t>
  </si>
  <si>
    <t>Težinski udjeli ocjenjenih kriterija</t>
  </si>
  <si>
    <t>Broj "veoma osjetljivih" kriterija sa težinskim udjelom ***</t>
  </si>
  <si>
    <t>Broj  "veoma osjetljivih" kriterija</t>
  </si>
  <si>
    <t>Srednji težinski udio</t>
  </si>
  <si>
    <t xml:space="preserve">Srednji težinski udio "veoma osjetljeivih" kriterija </t>
  </si>
  <si>
    <t>Broj "veoma osjetljivih" /i "osjetljivih" kao i težinski udio "veoma osjetljivih" kriterija</t>
  </si>
  <si>
    <t>Broj "osjeteljivih" kriterija</t>
  </si>
  <si>
    <t>Poređenje broj "veoma osjeteljivih" (uključujući težinski udio) i "osjeteljivi " kriteriji sa načinom bodovanja</t>
  </si>
  <si>
    <t>Težinski udio pojedinačnih kriterija - pomoćna tabela</t>
  </si>
  <si>
    <t>Ukupna ocjena za Ekologiju voda</t>
  </si>
  <si>
    <t>Ukupno</t>
  </si>
  <si>
    <t>Pristup ocjenjivanju za Ekologiju voda</t>
  </si>
  <si>
    <t>nisko</t>
  </si>
  <si>
    <t>srednje</t>
  </si>
  <si>
    <t>visoko</t>
  </si>
  <si>
    <t>Razina 1: Ne odgovara nijedan osjetljivi kriterij</t>
  </si>
  <si>
    <t>Razina 2 : Odgovaraju osjetljivi kriteriji</t>
  </si>
  <si>
    <t>Razina 3:  1 veoma osjetljivi kriterij ( mala težina i srednja težina)</t>
  </si>
  <si>
    <t>Razina 3:  1 veoma osjetljivi kriterij (visoka težina)</t>
  </si>
  <si>
    <t>Razina 3: 2 veoma osjetljiva kriterija (mala težina)</t>
  </si>
  <si>
    <t>Razina 3:  2 veoma osjetljiva kriterija ( srednja težina)</t>
  </si>
  <si>
    <t>Razina 3:  2 veoma osjetljiva kriterija (visoka težina)</t>
  </si>
  <si>
    <t>Razina 3:  &gt;= 3 veoma osjetljiva kriterija (mala težina)</t>
  </si>
  <si>
    <t>Razina 3: &gt;=3 veoma osjetljiva kriterija (srednja težina)</t>
  </si>
  <si>
    <t>Razina 3: &gt;=3 veoma osjetljiva kriterija (najmanje 2 sa udjelom procjene od ***) ili visok ekološki status</t>
  </si>
  <si>
    <t>EV1</t>
  </si>
  <si>
    <t>EV2</t>
  </si>
  <si>
    <t>EV3</t>
  </si>
  <si>
    <t>EV4.1</t>
  </si>
  <si>
    <t>EV4.2</t>
  </si>
  <si>
    <t>EV5</t>
  </si>
  <si>
    <t>EV6</t>
  </si>
  <si>
    <t>EV7</t>
  </si>
  <si>
    <t>EV8</t>
  </si>
  <si>
    <t>Stručna oblast Zaštita prirode: Kriterij 1 "Zaštita vrsta"</t>
  </si>
  <si>
    <t>Ugrožavanje jedinke, dijela populacije ili populacija divljih vrsta kritično ugroženih (CR,RE) ili ugroženi (EN) ili ranjive (VU) u FBiH i RS</t>
  </si>
  <si>
    <t>0 bodova</t>
  </si>
  <si>
    <t>1 bod</t>
  </si>
  <si>
    <t>2 boda</t>
  </si>
  <si>
    <t>3 boda</t>
  </si>
  <si>
    <t>4 boda</t>
  </si>
  <si>
    <t>5 bodova</t>
  </si>
  <si>
    <t>Ugrožene populacije ili dijelovi populacije ugroženih (EN) ili ranjivih (VU) vrsta u FBiH ili RS</t>
  </si>
  <si>
    <t>Ugrožene populacije/ dijelovi populacija gotovo ugroženih vrsta (NT) ili vrsta s nedovoljnim podacima (DD) u FBiH ili RS</t>
  </si>
  <si>
    <t>Negativne posljedice po pojedinačne primjerke vrsta koje nisu ugrožene (LC) i, ili za koje su dodjeljena 2 boda za slučaj negativnih posljedica na nivou populacija ili dijelova populacije</t>
  </si>
  <si>
    <t>Negativni utjecaji na pojedine jedinke iz neugroženih vrsta</t>
  </si>
  <si>
    <t>Bez utjecaja na ugrožene i, ili zaštićene vrste, niti na populacije ili subpopulacije, čak I na individualnom nivou</t>
  </si>
  <si>
    <t>Stručna oblast Zaštita prirode: Kriterij 2 "Zaštita prirodnih staništa"</t>
  </si>
  <si>
    <t>Negativne posljedice visokog inenziteta po prioritetne tipove životnog prostora prema aneksu 1 Direktive o staništima ako je stanje očuvanosti A ili B, moguća redukcija površina,  i, ili negativne posljedice visokog inenziteta po tipove staništa kojima prijeti nestajanje (CR) ili koji se u određenoj regiji smatraju potpuno uništenim (RE), ako je utjecaj stalan.</t>
  </si>
  <si>
    <t>Negativne posljedice visokog inenziteta po jako ugrožene tipove staništa (EN), moguća redukcija površina i, ili manje do srednje izražene negativne posljedice po tipove staništa kojima prijeti nestajanje (CR) ili koji se u određenoj regiji smatraju potpuno uništenim (RE), nema redukcije površina</t>
  </si>
  <si>
    <t>Negativne posljedice visokog inenziteta po ugrožene tipove staništa (VU), moguća redukcija površina i, ili manje do srednje izražene negativne posljedice po jako ugrožene tipove staništa (EN), nema redukcije površina</t>
  </si>
  <si>
    <t>Negativne posljedice visokog inenziteta po neugrožene, zaštićene tipove staništa, moguća redukcija površina i, ili manje do srednje izražene negativne posljedice po ugrožene tipove staništa (VU), nema redukcije površina</t>
  </si>
  <si>
    <t>Negativne posljedice visokog inenziteta po neugrožene, nezaštićene tipove staništa koja se brzo regeneriraju ili po staništa na koja je izvršen jak antropogeni utjecaj bez vrijednih elemenata kulturnog pejzaža, moguća redukcija površina i, ili manje do srednje izražene negativne posljedice po neugrožene, zaštićene tipove staništa, nema redukcije površina</t>
  </si>
  <si>
    <t>Negativne posljedice manjeg do srednjeg intenziteta po neugrožene i nezaštićene tipove staništa koja se brzo regeneriraju ili po staništa na koje je izvršen jak antropogeni utjecaj bez vrijednih elemenata kulturnog pejzaža, nema redukcije površina</t>
  </si>
  <si>
    <t>Stručna oblast Zaštita prirode: Kriterij 3 "Ekosistem"</t>
  </si>
  <si>
    <t>ime vodnog tijela</t>
  </si>
  <si>
    <t>Izražene ili djelomične negativne posljedice na prirodni ekosistem (izražena oštećenja: prirodni abiotički elementi potpuno transformirani u svom djelovanju i populacije pojedinih vrsta nisu više u stanju da prežive u području djelovanja projekata )</t>
  </si>
  <si>
    <t>Izražene negativne posljedice na djelimično prirodni ekosistem (funkcije su djelomično u prirodnom odnosno u stanju sličnom prirodnom, dok su određene funkcije djelomično izmijenjene: npr. morfologija prirodna, hidrologija promijenjena)</t>
  </si>
  <si>
    <t>Djelomično negativne posljedice na djelomično (umjereno izmjenjen) prirodan ekosistem (prirodni abiotički elementi ostaju dijelom sačuvani npr. morfologija ostaje sačuvana, a hidrologija je izmijenjena; dominantni odnosi u populacijama izmijenjeni, nijedna vrsta neće nestati u području djelovanja projekata</t>
  </si>
  <si>
    <t>Negativne posljedice vrlo malog intenziteta na prirodni ekosistem odnosno na ekosisteme u stanju sličnom prirodnom (mala oštećenja: prirodni abiotički elementi u potpunosti ostaju očuvani i, ili dominantni odnosi u populacijama nisu izmijenjeni)</t>
  </si>
  <si>
    <t>Nema negativnih posljedica na ekosistem i, ili
Izražene negativne posljedice na potpuno oštećeni ekosistem i, ili 
Djelomično negativne posljedice na potpuno oštećeni ekosistem</t>
  </si>
  <si>
    <t>Procjena/definicija intervala</t>
  </si>
  <si>
    <t>Stručna oblast Zaštita prirode: Kriterij 4 "Pejzaž i rekreacijska vrijednost"</t>
  </si>
  <si>
    <t>A) Podkriterij "Vizuelna dostupnost"</t>
  </si>
  <si>
    <t>B) Podkriterij "Porijeklo elemenata"</t>
  </si>
  <si>
    <t>C) Podkriterij "Jedinstevnost"</t>
  </si>
  <si>
    <t>D) Podkriterij "Reprezentativnost"</t>
  </si>
  <si>
    <t>E) Podkriterij "Rekreacijska vrijednost"</t>
  </si>
  <si>
    <t>Ocjena vizuelne dostupnosti</t>
  </si>
  <si>
    <t>Ocjena porijeklo elemenata</t>
  </si>
  <si>
    <t>Ocjena Jedinstvenost</t>
  </si>
  <si>
    <t>Ocjena reprezentativnost</t>
  </si>
  <si>
    <t>Ocjena rekreativna vrijednost</t>
  </si>
  <si>
    <t>Ocjena vodnog tijela</t>
  </si>
  <si>
    <t>Intenzitet uticaja</t>
  </si>
  <si>
    <t>Ukupan zbir za podkriterije</t>
  </si>
  <si>
    <t>Izražen</t>
  </si>
  <si>
    <t>Srednji</t>
  </si>
  <si>
    <t>Neznatan</t>
  </si>
  <si>
    <t>Podkriterij Vizuelna dostupnost</t>
  </si>
  <si>
    <t>Uticaj projekta na pejzaž izvan prostora hidroelektrane i na prostoru hidroelektrane</t>
  </si>
  <si>
    <t>Uticaj projekta na pejzaž samo u zoni hidroelektrane</t>
  </si>
  <si>
    <t>Nema uticaja</t>
  </si>
  <si>
    <t>Podkriterij Porijeklo elemenata</t>
  </si>
  <si>
    <t>Prirodno ili tradicionalna kultura</t>
  </si>
  <si>
    <t>Slično prirodnom stanju ili djelomično tradicionalna kultura</t>
  </si>
  <si>
    <t>Antropogeno transformirano</t>
  </si>
  <si>
    <t>Podkriterij Jedinstvenost</t>
  </si>
  <si>
    <t xml:space="preserve">Visoka </t>
  </si>
  <si>
    <t>Srednja</t>
  </si>
  <si>
    <t>mala</t>
  </si>
  <si>
    <t>Neznatna</t>
  </si>
  <si>
    <t>Podkriterij Reprezentativnost</t>
  </si>
  <si>
    <t>Elementi tipični, tipičnost dominira</t>
  </si>
  <si>
    <t>Elementi djelomično tipični, ali ne dominiraju</t>
  </si>
  <si>
    <t>Elementi netipični, strani području</t>
  </si>
  <si>
    <t>Podkriterij rekreativna vrijednost</t>
  </si>
  <si>
    <t>Zbir</t>
  </si>
  <si>
    <t xml:space="preserve"> Ukupna ocjena za kriterij "Pejzaž i rekreacijska vrijednost"</t>
  </si>
  <si>
    <t>Stručna oblast Zaštita prirode: Kriterij 5 "Prirodni značaj vodotoka"</t>
  </si>
  <si>
    <t>Vodotok na kome je planiran projekat hidroelektrane nalazi se unutar zaštićenog područja ili zaštićenih vodnih zona: izuzetno velika važnost očuvanja ili veoma veliki značaj (Prirodni rezervat i Područje Natura 2000)</t>
  </si>
  <si>
    <t>Vodotok na kome je planiran projekat hidroelektrane ne nalazi se u zaštićenom području ili zaštićenim vodnim zonama, ali je zbog utvrđenih prirodnih značajnosti i uticaja na prirodu, veoma važno očuvanje prostora ili se nalazi u II (pufer) zoni zaštićenog područja koje je veoma važno očuvati u utvrđenom stanju prirodnosti</t>
  </si>
  <si>
    <t>Vodotok na kome je planiran projekat hidroelektrane ne nalazi se u zaštićenom području ili zaštićenim vodnim zonama, ali je zbog utvrđenih značajnosti veoma važno očuvanje prostora ili se nalazi u III(tranzicijskoj) zoni zaštićenog područja (Nacionalni park)</t>
  </si>
  <si>
    <t xml:space="preserve"> projekat hidoelektrane zahvata prostor koji ima umjeren uticaj na zaštićeno područje u kategoriji pejzaža, parka prirode, regionalnog parka isl.</t>
  </si>
  <si>
    <t>Projekat planiran izvan prostora zaštićenog područja ali može uzrokovati umjerene posljedice na oblast zaštićenog područja (pejzaž, spomenik prirode i sl.)</t>
  </si>
  <si>
    <t xml:space="preserve">Projekat je planiran izvan zaštićenog područja  ali ima neznatan uticaj na zaštićeno područje </t>
  </si>
  <si>
    <t>Stručna oblast Zaštita prirode: Kriterij 6 "Osjetljivi tipovi voda"</t>
  </si>
  <si>
    <t>bez bodova</t>
  </si>
  <si>
    <t>Projekat hidroelektrane planiran na osjetljivom tipu voda</t>
  </si>
  <si>
    <t>vodotok na kojom je planiran projekat nije u kategoriji osjetljivih tipova voda</t>
  </si>
  <si>
    <t>Da li je projekat planiran na osjetljivom tipu voda?</t>
  </si>
  <si>
    <t>Stručna oblast Zaštite prirode: Kriterij 7 "Osjetljiva i jedinstvena vodna  tijela"</t>
  </si>
  <si>
    <t>Da li je projekat planiran na osjetljivom i jedinstenom vodnom tijelu(da/ne)?</t>
  </si>
  <si>
    <t>Stručna oblast Zaštite prirode: Ukupna ocjena</t>
  </si>
  <si>
    <t>ZP1 Zaštita vrsta</t>
  </si>
  <si>
    <t>ZP2 Zaštita prirodnog staništa</t>
  </si>
  <si>
    <t>ZP3 Ekosistem</t>
  </si>
  <si>
    <t>ZP4 Pejzaž i rekreacijaska vrijednost</t>
  </si>
  <si>
    <t>ZP5 Prirodni značaj vodotoka</t>
  </si>
  <si>
    <t>ZP6 Osjetljivi tipovi voda</t>
  </si>
  <si>
    <t>ZP7 Osjetljiva i jedinstvena vodna tijela</t>
  </si>
  <si>
    <t>Broj kriterija sa ocjenom 0:</t>
  </si>
  <si>
    <t>Ukupna ocjena za Zaštitu prirode</t>
  </si>
  <si>
    <t>ZP1</t>
  </si>
  <si>
    <t>ZP2</t>
  </si>
  <si>
    <t>ZP3</t>
  </si>
  <si>
    <t>ZP4</t>
  </si>
  <si>
    <t>ZP5</t>
  </si>
  <si>
    <t>ZP6</t>
  </si>
  <si>
    <t>ZP7</t>
  </si>
  <si>
    <t>Visoka</t>
  </si>
  <si>
    <t>Dužina vodnog tijela</t>
  </si>
  <si>
    <t>Stručna oblast Upravljanje vodama: Ukupna ocjena</t>
  </si>
  <si>
    <t>od maksmialne ocjene</t>
  </si>
  <si>
    <t>1. Stepen iskorištenosti hidropotencijala</t>
  </si>
  <si>
    <t>3. Efikasnost iskorištenja vode</t>
  </si>
  <si>
    <t>4. Promjena potencijala rizika</t>
  </si>
  <si>
    <t>5. Utjecaj na kvalitet vode (imisija)</t>
  </si>
  <si>
    <t>6. Utjecaj na podzemne vode</t>
  </si>
  <si>
    <t>Ocjena kriterija Osjetljiva i jedinstvena vodna tijela</t>
  </si>
  <si>
    <t>* Pretvoreni rezultati u ocjenu od 0-5</t>
  </si>
  <si>
    <t>Signalizacija</t>
  </si>
  <si>
    <t>Stručna oblast Upravljanje vodama: Kriterij 6 "Utjecaj na podzemne vode"</t>
  </si>
  <si>
    <t>Stručna oblast Upravljanje vodama: Kriterij 5"Utjecaj na kvalitet vode (imisija)"</t>
  </si>
  <si>
    <t>Stručna oblast Upravljanje vodama: Kriterij 4 "Promjena potencijala rizika"</t>
  </si>
  <si>
    <t>Stručna oblast Upravljanje vodama: Kriterij 3" Efikasnost iskorištenja vode"</t>
  </si>
  <si>
    <t>2. Karakteristike hidroelektrane</t>
  </si>
  <si>
    <t>Stručna oblast Prostorno planiranje: Kriterij 8 "Lokalna privreda"</t>
  </si>
  <si>
    <t>8. Lokalna privreda</t>
  </si>
  <si>
    <t>do not delete</t>
  </si>
  <si>
    <t>Bodovi</t>
  </si>
  <si>
    <t>Broj bodova</t>
  </si>
  <si>
    <t xml:space="preserve">*min. 0 i mak. 5 </t>
  </si>
  <si>
    <t>Ukupno bodova</t>
  </si>
  <si>
    <t>Rezultati ocjene</t>
  </si>
  <si>
    <t xml:space="preserve">Broj bodova </t>
  </si>
  <si>
    <t xml:space="preserve">Izaberite </t>
  </si>
  <si>
    <t>Stručna oblast Ekologija voda: Kriterij 4 "Posebni tipovi i obilježja vodotoka"</t>
  </si>
  <si>
    <t>Posebni tipovi vodotoka</t>
  </si>
  <si>
    <t>Posebna obilježja po tipovima vodotoka</t>
  </si>
  <si>
    <t>Ocjena podkriterija posebni tipovi vodotoka</t>
  </si>
  <si>
    <t>Vrste posebnih tipova vodotoka</t>
  </si>
  <si>
    <t>Nema posebne vrste vodotoka</t>
  </si>
  <si>
    <t>Ocjena podkriterija  Posebna obilježja po tipovima vodotoka</t>
  </si>
  <si>
    <t>Utjecaj</t>
  </si>
  <si>
    <t>Lista</t>
  </si>
  <si>
    <t>Ocjena kriterija Osijeteljivi tipovi voda</t>
  </si>
  <si>
    <t>Bodovanje pojedinačnih kriterija</t>
  </si>
  <si>
    <t>Padajuća lista</t>
  </si>
  <si>
    <t>MHE se nalazi u nenaseljenom području bez prisutnosti drugih korisnika vodnog tijela, u zoni rizika se ne nalaze druge građevine. Zemljište je označeno kao šumsko, područje karakteristične flore i faune, ili kao zaštićeno prirodno područje.</t>
  </si>
  <si>
    <t>MHE se nalazi u nenaseljenom području bez prisutnosti drugih korisnika vodnog tijela, u zoni rizika nalaze se i druge građevine. Zemljište je označeno kao šumsko, područje karakteristične flore i faune, ili kao zaštićeno prirodno podučje.</t>
  </si>
  <si>
    <t xml:space="preserve">MHE se nalazi u nenaseljenom području bez prisutnosti drugih korisnika vodnog tijela, u zoni rizika se ne nalaze druge građevine. Zemljište nije označeno kao šumsko, područje karakteristične flore i faune, ili kao zaštićeno prirodno područje. </t>
  </si>
  <si>
    <t>Strogi rezervati prirode</t>
  </si>
  <si>
    <t>drop dpwn menu</t>
  </si>
  <si>
    <t xml:space="preserve">Planirani projekat je planiran u zaštićenom pejzažu (da/ne)? </t>
  </si>
  <si>
    <t>Mogućnost primjene kriterija za ocjenu</t>
  </si>
  <si>
    <r>
      <t>Ovaj dokument je u vlasništvu ''</t>
    </r>
    <r>
      <rPr>
        <b/>
        <i/>
        <sz val="12"/>
        <color theme="1"/>
        <rFont val="Arial"/>
        <family val="2"/>
        <charset val="238"/>
      </rPr>
      <t>Ministarstva</t>
    </r>
    <r>
      <rPr>
        <sz val="12"/>
        <color theme="1"/>
        <rFont val="Arial"/>
        <family val="2"/>
      </rPr>
      <t>'' i jedino predstavnici ''Ministarstva'' mogu odlučivati o promjenama unutar samog dokumenta*</t>
    </r>
  </si>
  <si>
    <t>Excel alat se koristi zajedno sa Katalogom kriterija za održivi razvoj  u sektoru malih hidroelektrana te se međusobno nadopunjuju.</t>
  </si>
  <si>
    <t>Stručna oblast Energetika: Kriterij 3 "Priključak na distributivnu/prenosnu mrežu"</t>
  </si>
  <si>
    <t>Dužina priključka na distributivnu/prenosnu mrežu (km)</t>
  </si>
  <si>
    <t>3. Priključak na distributivnu/prenosnu mrežu</t>
  </si>
  <si>
    <t>Provjera da li su kriteriji iz stručne oblasti Ekologija voda ocijenjeni</t>
  </si>
  <si>
    <t>Padajući meni</t>
  </si>
  <si>
    <t xml:space="preserve">Ocjena </t>
  </si>
  <si>
    <t>Finalna verzija</t>
  </si>
  <si>
    <t>Excel alat za ocjenu malih hidriocentrala prema Katalogu kriterija za održivi razvoj u sektoru malih hidroelektrana u BiH</t>
  </si>
  <si>
    <t>Ukupna investicija
(mil. KM)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</si>
</sst>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7">
    <numFmt numFmtId="43" formatCode="_-* #,##0.00_-;\-* #,##0.00_-;_-* &quot;-&quot;??_-;_-@_-"/>
    <numFmt numFmtId="164" formatCode="#,##0.0\ &quot;Mio. €&quot;"/>
    <numFmt numFmtId="165" formatCode="#,##0.0\ &quot;km&quot;"/>
    <numFmt numFmtId="166" formatCode="#,##0.0\ &quot;m&quot;"/>
    <numFmt numFmtId="167" formatCode="#,##0.00\ &quot;GWh/a&quot;"/>
    <numFmt numFmtId="168" formatCode="#,##0.0\ &quot;GWh/a&quot;"/>
    <numFmt numFmtId="169" formatCode="#,##0.00\ &quot;million KM&quot;"/>
    <numFmt numFmtId="170" formatCode="#,##0.00\ &quot;KM/kWh&quot;"/>
    <numFmt numFmtId="171" formatCode="0\ &quot;points&quot;"/>
    <numFmt numFmtId="172" formatCode="#,##0.0\ &quot;kgCO2/MWh&quot;"/>
    <numFmt numFmtId="173" formatCode="#,##0\ &quot;tCO2/a&quot;"/>
    <numFmt numFmtId="174" formatCode="#,##0.00\ &quot;km/GWh&quot;"/>
    <numFmt numFmtId="175" formatCode="0.00\ &quot;points&quot;"/>
    <numFmt numFmtId="176" formatCode="#,##0.00\ &quot;m3/s&quot;"/>
    <numFmt numFmtId="177" formatCode="#,##0.00\ &quot;km&quot;"/>
    <numFmt numFmtId="178" formatCode="#,##0.000\ &quot;million KM&quot;"/>
    <numFmt numFmtId="179" formatCode="#,###\ &quot;kWel&quot;"/>
    <numFmt numFmtId="180" formatCode="#,##0\ &quot;MWh/a&quot;"/>
    <numFmt numFmtId="181" formatCode="0.0%"/>
    <numFmt numFmtId="182" formatCode="#,##0\ &quot;m&quot;"/>
    <numFmt numFmtId="183" formatCode="#,###\ &quot;m/GWh&quot;"/>
    <numFmt numFmtId="184" formatCode="0.0"/>
    <numFmt numFmtId="185" formatCode="#,##0.0\ &quot;km2&quot;"/>
    <numFmt numFmtId="186" formatCode="#,##0.0\ &quot;dana&quot;"/>
    <numFmt numFmtId="187" formatCode="0.00\ &quot;&quot;"/>
    <numFmt numFmtId="188" formatCode="0\ &quot;&quot;"/>
    <numFmt numFmtId="189" formatCode="0.0\ &quot;&quot;"/>
  </numFmts>
  <fonts count="73" x14ac:knownFonts="1">
    <font>
      <sz val="12"/>
      <color theme="1"/>
      <name val="Calibri"/>
      <family val="2"/>
      <scheme val="minor"/>
    </font>
    <font>
      <sz val="10"/>
      <name val="Arial"/>
      <family val="2"/>
    </font>
    <font>
      <b/>
      <sz val="10"/>
      <name val="Arial"/>
      <family val="2"/>
    </font>
    <font>
      <b/>
      <u/>
      <sz val="14"/>
      <name val="Arial"/>
      <family val="2"/>
    </font>
    <font>
      <sz val="12"/>
      <name val="Arial"/>
      <family val="2"/>
    </font>
    <font>
      <b/>
      <sz val="11"/>
      <name val="Arial"/>
      <family val="2"/>
    </font>
    <font>
      <b/>
      <sz val="12"/>
      <name val="Arial"/>
      <family val="2"/>
    </font>
    <font>
      <b/>
      <u/>
      <sz val="12"/>
      <name val="Arial"/>
      <family val="2"/>
    </font>
    <font>
      <b/>
      <sz val="16"/>
      <name val="Arial"/>
      <family val="2"/>
    </font>
    <font>
      <sz val="10"/>
      <color indexed="8"/>
      <name val="Arial"/>
      <family val="2"/>
    </font>
    <font>
      <b/>
      <sz val="10"/>
      <color indexed="8"/>
      <name val="Arial"/>
      <family val="2"/>
    </font>
    <font>
      <sz val="10"/>
      <name val="Verdana"/>
      <family val="2"/>
    </font>
    <font>
      <sz val="10"/>
      <color indexed="8"/>
      <name val="Arial"/>
      <family val="2"/>
    </font>
    <font>
      <b/>
      <sz val="14"/>
      <name val="Arial"/>
      <family val="2"/>
    </font>
    <font>
      <sz val="8"/>
      <name val="Calibri"/>
      <family val="2"/>
    </font>
    <font>
      <b/>
      <sz val="28"/>
      <name val="Arial"/>
      <family val="2"/>
    </font>
    <font>
      <b/>
      <i/>
      <sz val="14"/>
      <name val="Arial"/>
      <family val="2"/>
    </font>
    <font>
      <i/>
      <sz val="10"/>
      <name val="Arial"/>
      <family val="2"/>
    </font>
    <font>
      <sz val="10"/>
      <color indexed="8"/>
      <name val="Verdana"/>
      <family val="2"/>
    </font>
    <font>
      <b/>
      <sz val="10"/>
      <color indexed="8"/>
      <name val="Arial"/>
      <family val="2"/>
    </font>
    <font>
      <sz val="12"/>
      <color theme="1"/>
      <name val="Calibri"/>
      <family val="2"/>
      <scheme val="minor"/>
    </font>
    <font>
      <sz val="10"/>
      <color theme="1"/>
      <name val="Arial"/>
      <family val="2"/>
    </font>
    <font>
      <sz val="12"/>
      <color theme="1"/>
      <name val="Arial"/>
      <family val="2"/>
    </font>
    <font>
      <b/>
      <sz val="12"/>
      <color theme="0"/>
      <name val="Arial"/>
      <family val="2"/>
    </font>
    <font>
      <b/>
      <sz val="18"/>
      <color rgb="FFFF0000"/>
      <name val="Arial"/>
      <family val="2"/>
    </font>
    <font>
      <b/>
      <sz val="10"/>
      <color rgb="FFFF0000"/>
      <name val="Arial"/>
      <family val="2"/>
    </font>
    <font>
      <sz val="8"/>
      <color theme="1"/>
      <name val="Arial"/>
      <family val="2"/>
    </font>
    <font>
      <sz val="12"/>
      <color rgb="FFFF0000"/>
      <name val="Arial"/>
      <family val="2"/>
    </font>
    <font>
      <b/>
      <sz val="10"/>
      <color theme="1"/>
      <name val="Arial"/>
      <family val="2"/>
    </font>
    <font>
      <b/>
      <sz val="16"/>
      <color rgb="FFFF0000"/>
      <name val="Arial"/>
      <family val="2"/>
    </font>
    <font>
      <b/>
      <sz val="24"/>
      <color rgb="FFFF0000"/>
      <name val="Arial"/>
      <family val="2"/>
    </font>
    <font>
      <sz val="12"/>
      <color theme="0"/>
      <name val="Calibri"/>
      <family val="2"/>
      <scheme val="minor"/>
    </font>
    <font>
      <b/>
      <sz val="14"/>
      <color theme="4"/>
      <name val="Calibri"/>
      <family val="2"/>
      <scheme val="minor"/>
    </font>
    <font>
      <b/>
      <sz val="16"/>
      <color theme="1"/>
      <name val="Calibri"/>
      <family val="2"/>
      <scheme val="minor"/>
    </font>
    <font>
      <sz val="14"/>
      <color theme="1"/>
      <name val="Calibri"/>
      <family val="2"/>
      <scheme val="minor"/>
    </font>
    <font>
      <sz val="8"/>
      <color theme="1"/>
      <name val="Calibri"/>
      <family val="2"/>
      <scheme val="minor"/>
    </font>
    <font>
      <sz val="12"/>
      <color theme="0" tint="-0.14999847407452621"/>
      <name val="Arial"/>
      <family val="2"/>
    </font>
    <font>
      <sz val="12"/>
      <color theme="1"/>
      <name val="Times New Roman"/>
      <family val="1"/>
    </font>
    <font>
      <sz val="10"/>
      <color theme="6"/>
      <name val="Arial"/>
      <family val="2"/>
    </font>
    <font>
      <b/>
      <sz val="10"/>
      <color theme="6"/>
      <name val="Arial"/>
      <family val="2"/>
    </font>
    <font>
      <b/>
      <sz val="12"/>
      <color theme="1"/>
      <name val="Arial"/>
      <family val="2"/>
    </font>
    <font>
      <sz val="10"/>
      <color theme="0" tint="-0.14999847407452621"/>
      <name val="Arial"/>
      <family val="2"/>
    </font>
    <font>
      <sz val="10"/>
      <color rgb="FFFF0000"/>
      <name val="Arial"/>
      <family val="2"/>
    </font>
    <font>
      <b/>
      <sz val="10"/>
      <color theme="0" tint="-0.14999847407452621"/>
      <name val="Arial"/>
      <family val="2"/>
    </font>
    <font>
      <sz val="10"/>
      <color rgb="FF000000"/>
      <name val="Arial"/>
      <family val="2"/>
    </font>
    <font>
      <b/>
      <sz val="10"/>
      <color rgb="FF000000"/>
      <name val="Arial"/>
      <family val="2"/>
    </font>
    <font>
      <b/>
      <sz val="12"/>
      <color theme="0" tint="-0.14999847407452621"/>
      <name val="Arial"/>
      <family val="2"/>
    </font>
    <font>
      <sz val="12"/>
      <color theme="0" tint="-0.14999847407452621"/>
      <name val="Calibri"/>
      <family val="2"/>
      <scheme val="minor"/>
    </font>
    <font>
      <b/>
      <sz val="14"/>
      <color theme="1"/>
      <name val="Arial"/>
      <family val="2"/>
    </font>
    <font>
      <b/>
      <sz val="18"/>
      <color theme="1"/>
      <name val="Arial"/>
      <family val="2"/>
    </font>
    <font>
      <sz val="10"/>
      <color rgb="FF000000"/>
      <name val="Calibri"/>
      <family val="2"/>
    </font>
    <font>
      <b/>
      <u/>
      <sz val="14"/>
      <color theme="1"/>
      <name val="Calibri"/>
      <family val="2"/>
      <scheme val="minor"/>
    </font>
    <font>
      <b/>
      <u/>
      <sz val="12"/>
      <color theme="1"/>
      <name val="Arial"/>
      <family val="2"/>
    </font>
    <font>
      <sz val="10"/>
      <color rgb="FF000000"/>
      <name val="Tahoma"/>
      <family val="2"/>
    </font>
    <font>
      <sz val="9"/>
      <color rgb="FF000000"/>
      <name val="Verdana"/>
      <family val="2"/>
    </font>
    <font>
      <sz val="8"/>
      <name val="Calibri"/>
      <family val="2"/>
      <scheme val="minor"/>
    </font>
    <font>
      <sz val="12"/>
      <color rgb="FF000000"/>
      <name val="Calibri"/>
      <family val="2"/>
    </font>
    <font>
      <sz val="8"/>
      <color indexed="8"/>
      <name val="Arial"/>
      <family val="2"/>
    </font>
    <font>
      <sz val="8"/>
      <color rgb="FFFF0000"/>
      <name val="Arial"/>
      <family val="2"/>
    </font>
    <font>
      <sz val="8"/>
      <name val="Verdana"/>
      <family val="2"/>
    </font>
    <font>
      <sz val="8"/>
      <color theme="9"/>
      <name val="Arial"/>
      <family val="2"/>
    </font>
    <font>
      <b/>
      <u/>
      <sz val="14"/>
      <color indexed="8"/>
      <name val="Arial"/>
      <family val="2"/>
    </font>
    <font>
      <b/>
      <u/>
      <sz val="10"/>
      <color indexed="8"/>
      <name val="Arial"/>
      <family val="2"/>
    </font>
    <font>
      <sz val="12"/>
      <color rgb="FFFF0000"/>
      <name val="Calibri"/>
      <family val="2"/>
      <scheme val="minor"/>
    </font>
    <font>
      <b/>
      <sz val="12"/>
      <color theme="1"/>
      <name val="Calibri"/>
      <family val="2"/>
      <charset val="238"/>
      <scheme val="minor"/>
    </font>
    <font>
      <b/>
      <sz val="10"/>
      <name val="Arial"/>
      <family val="2"/>
      <charset val="238"/>
    </font>
    <font>
      <b/>
      <sz val="11"/>
      <name val="Arial"/>
      <family val="2"/>
      <charset val="238"/>
    </font>
    <font>
      <sz val="12"/>
      <color theme="6"/>
      <name val="Arial"/>
      <family val="2"/>
    </font>
    <font>
      <b/>
      <sz val="12"/>
      <color theme="0"/>
      <name val="Calibri"/>
      <family val="2"/>
      <scheme val="minor"/>
    </font>
    <font>
      <sz val="12"/>
      <color theme="0"/>
      <name val="Arial"/>
      <family val="2"/>
    </font>
    <font>
      <b/>
      <i/>
      <sz val="12"/>
      <color theme="1"/>
      <name val="Arial"/>
      <family val="2"/>
      <charset val="238"/>
    </font>
    <font>
      <sz val="12"/>
      <color theme="1"/>
      <name val="Arial"/>
      <family val="2"/>
      <charset val="238"/>
    </font>
    <font>
      <sz val="11"/>
      <color theme="1"/>
      <name val="Arial"/>
      <family val="2"/>
    </font>
  </fonts>
  <fills count="23">
    <fill>
      <patternFill patternType="none"/>
    </fill>
    <fill>
      <patternFill patternType="gray125"/>
    </fill>
    <fill>
      <patternFill patternType="solid">
        <fgColor indexed="55"/>
        <bgColor indexed="64"/>
      </patternFill>
    </fill>
    <fill>
      <patternFill patternType="solid">
        <fgColor rgb="FF969696"/>
        <bgColor rgb="FF000000"/>
      </patternFill>
    </fill>
    <fill>
      <patternFill patternType="solid">
        <fgColor theme="0" tint="-0.14999847407452621"/>
        <bgColor rgb="FF000000"/>
      </patternFill>
    </fill>
    <fill>
      <patternFill patternType="solid">
        <fgColor theme="0" tint="-0.14999847407452621"/>
        <bgColor indexed="64"/>
      </patternFill>
    </fill>
    <fill>
      <patternFill patternType="solid">
        <fgColor theme="7" tint="0.39997558519241921"/>
        <bgColor rgb="FF000000"/>
      </patternFill>
    </fill>
    <fill>
      <patternFill patternType="solid">
        <fgColor theme="8"/>
        <bgColor rgb="FF000000"/>
      </patternFill>
    </fill>
    <fill>
      <patternFill patternType="solid">
        <fgColor theme="5" tint="0.59999389629810485"/>
        <bgColor rgb="FF000000"/>
      </patternFill>
    </fill>
    <fill>
      <patternFill patternType="solid">
        <fgColor theme="0" tint="-0.34998626667073579"/>
        <bgColor rgb="FF000000"/>
      </patternFill>
    </fill>
    <fill>
      <patternFill patternType="solid">
        <fgColor theme="0" tint="-0.499984740745262"/>
        <bgColor indexed="64"/>
      </patternFill>
    </fill>
    <fill>
      <patternFill patternType="solid">
        <fgColor theme="8" tint="0.59999389629810485"/>
        <bgColor rgb="FF000000"/>
      </patternFill>
    </fill>
    <fill>
      <patternFill patternType="solid">
        <fgColor theme="8"/>
        <bgColor indexed="64"/>
      </patternFill>
    </fill>
    <fill>
      <patternFill patternType="solid">
        <fgColor theme="6"/>
        <bgColor indexed="64"/>
      </patternFill>
    </fill>
    <fill>
      <patternFill patternType="solid">
        <fgColor theme="6"/>
        <bgColor rgb="FF000000"/>
      </patternFill>
    </fill>
    <fill>
      <patternFill patternType="solid">
        <fgColor rgb="FFFF0000"/>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7" tint="0.59999389629810485"/>
        <bgColor indexed="64"/>
      </patternFill>
    </fill>
    <fill>
      <patternFill patternType="solid">
        <fgColor rgb="FFFFC000"/>
        <bgColor indexed="64"/>
      </patternFill>
    </fill>
    <fill>
      <patternFill patternType="solid">
        <fgColor theme="7" tint="0.79998168889431442"/>
        <bgColor rgb="FF000000"/>
      </patternFill>
    </fill>
    <fill>
      <patternFill patternType="solid">
        <fgColor theme="9"/>
        <bgColor indexed="64"/>
      </patternFill>
    </fill>
    <fill>
      <patternFill patternType="solid">
        <fgColor rgb="FFD9D9D9"/>
        <bgColor rgb="FF000000"/>
      </patternFill>
    </fill>
  </fills>
  <borders count="111">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style="medium">
        <color indexed="64"/>
      </top>
      <bottom/>
      <diagonal/>
    </border>
    <border>
      <left/>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medium">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style="medium">
        <color rgb="FF000000"/>
      </right>
      <top style="medium">
        <color indexed="64"/>
      </top>
      <bottom style="medium">
        <color indexed="64"/>
      </bottom>
      <diagonal/>
    </border>
    <border>
      <left style="thin">
        <color indexed="64"/>
      </left>
      <right/>
      <top style="medium">
        <color indexed="64"/>
      </top>
      <bottom style="thin">
        <color indexed="64"/>
      </bottom>
      <diagonal/>
    </border>
    <border>
      <left style="thin">
        <color theme="0"/>
      </left>
      <right style="thin">
        <color theme="0"/>
      </right>
      <top style="thin">
        <color theme="0"/>
      </top>
      <bottom style="thin">
        <color theme="0"/>
      </bottom>
      <diagonal/>
    </border>
    <border>
      <left style="thin">
        <color theme="1"/>
      </left>
      <right style="thin">
        <color theme="1"/>
      </right>
      <top style="thin">
        <color theme="1"/>
      </top>
      <bottom style="thin">
        <color theme="1"/>
      </bottom>
      <diagonal/>
    </border>
    <border>
      <left style="medium">
        <color theme="1"/>
      </left>
      <right style="medium">
        <color theme="1"/>
      </right>
      <top style="medium">
        <color theme="1"/>
      </top>
      <bottom style="medium">
        <color theme="1"/>
      </bottom>
      <diagonal/>
    </border>
    <border>
      <left style="medium">
        <color theme="1"/>
      </left>
      <right style="thin">
        <color theme="1"/>
      </right>
      <top style="medium">
        <color theme="1"/>
      </top>
      <bottom style="thin">
        <color theme="1"/>
      </bottom>
      <diagonal/>
    </border>
    <border>
      <left style="thin">
        <color theme="1"/>
      </left>
      <right style="thin">
        <color theme="1"/>
      </right>
      <top style="medium">
        <color theme="1"/>
      </top>
      <bottom style="thin">
        <color theme="1"/>
      </bottom>
      <diagonal/>
    </border>
    <border>
      <left style="thin">
        <color theme="1"/>
      </left>
      <right style="medium">
        <color theme="1"/>
      </right>
      <top style="medium">
        <color theme="1"/>
      </top>
      <bottom style="thin">
        <color theme="1"/>
      </bottom>
      <diagonal/>
    </border>
    <border>
      <left style="medium">
        <color theme="1"/>
      </left>
      <right style="thin">
        <color theme="1"/>
      </right>
      <top style="thin">
        <color theme="1"/>
      </top>
      <bottom style="thin">
        <color theme="1"/>
      </bottom>
      <diagonal/>
    </border>
    <border>
      <left style="thin">
        <color theme="1"/>
      </left>
      <right style="medium">
        <color theme="1"/>
      </right>
      <top style="thin">
        <color theme="1"/>
      </top>
      <bottom style="thin">
        <color theme="1"/>
      </bottom>
      <diagonal/>
    </border>
    <border>
      <left style="medium">
        <color theme="1"/>
      </left>
      <right style="thin">
        <color theme="1"/>
      </right>
      <top style="thin">
        <color theme="1"/>
      </top>
      <bottom style="medium">
        <color theme="1"/>
      </bottom>
      <diagonal/>
    </border>
    <border>
      <left style="thin">
        <color theme="1"/>
      </left>
      <right style="thin">
        <color theme="1"/>
      </right>
      <top style="thin">
        <color theme="1"/>
      </top>
      <bottom style="medium">
        <color theme="1"/>
      </bottom>
      <diagonal/>
    </border>
    <border>
      <left style="thin">
        <color theme="1"/>
      </left>
      <right style="medium">
        <color theme="1"/>
      </right>
      <top style="thin">
        <color theme="1"/>
      </top>
      <bottom style="medium">
        <color theme="1"/>
      </bottom>
      <diagonal/>
    </border>
    <border>
      <left style="thin">
        <color theme="1"/>
      </left>
      <right style="thin">
        <color theme="1"/>
      </right>
      <top style="medium">
        <color theme="1"/>
      </top>
      <bottom style="medium">
        <color theme="1"/>
      </bottom>
      <diagonal/>
    </border>
    <border>
      <left style="thin">
        <color theme="1"/>
      </left>
      <right style="medium">
        <color theme="1"/>
      </right>
      <top style="medium">
        <color theme="1"/>
      </top>
      <bottom style="medium">
        <color theme="1"/>
      </bottom>
      <diagonal/>
    </border>
    <border>
      <left/>
      <right style="thin">
        <color theme="1"/>
      </right>
      <top style="medium">
        <color theme="1"/>
      </top>
      <bottom style="medium">
        <color theme="1"/>
      </bottom>
      <diagonal/>
    </border>
    <border>
      <left/>
      <right style="thin">
        <color theme="1"/>
      </right>
      <top/>
      <bottom style="thin">
        <color theme="1"/>
      </bottom>
      <diagonal/>
    </border>
    <border>
      <left style="medium">
        <color theme="1"/>
      </left>
      <right style="medium">
        <color theme="1"/>
      </right>
      <top/>
      <bottom style="thin">
        <color theme="1"/>
      </bottom>
      <diagonal/>
    </border>
    <border>
      <left style="medium">
        <color theme="1"/>
      </left>
      <right style="medium">
        <color theme="1"/>
      </right>
      <top style="thin">
        <color theme="1"/>
      </top>
      <bottom style="thin">
        <color theme="1"/>
      </bottom>
      <diagonal/>
    </border>
    <border>
      <left style="medium">
        <color theme="1"/>
      </left>
      <right style="medium">
        <color theme="1"/>
      </right>
      <top style="thin">
        <color theme="1"/>
      </top>
      <bottom/>
      <diagonal/>
    </border>
    <border>
      <left style="thin">
        <color theme="0"/>
      </left>
      <right/>
      <top style="thin">
        <color theme="0"/>
      </top>
      <bottom/>
      <diagonal/>
    </border>
    <border>
      <left style="thin">
        <color theme="0"/>
      </left>
      <right/>
      <top/>
      <bottom/>
      <diagonal/>
    </border>
    <border>
      <left style="thin">
        <color theme="0"/>
      </left>
      <right/>
      <top style="thin">
        <color theme="0"/>
      </top>
      <bottom style="thin">
        <color theme="0"/>
      </bottom>
      <diagonal/>
    </border>
    <border>
      <left/>
      <right/>
      <top style="thin">
        <color theme="0"/>
      </top>
      <bottom style="thin">
        <color theme="0"/>
      </bottom>
      <diagonal/>
    </border>
    <border>
      <left style="medium">
        <color theme="0"/>
      </left>
      <right/>
      <top style="medium">
        <color theme="0"/>
      </top>
      <bottom/>
      <diagonal/>
    </border>
    <border>
      <left/>
      <right/>
      <top style="medium">
        <color theme="0"/>
      </top>
      <bottom/>
      <diagonal/>
    </border>
    <border>
      <left/>
      <right style="medium">
        <color theme="0"/>
      </right>
      <top style="medium">
        <color theme="0"/>
      </top>
      <bottom/>
      <diagonal/>
    </border>
    <border>
      <left style="medium">
        <color theme="0"/>
      </left>
      <right/>
      <top/>
      <bottom/>
      <diagonal/>
    </border>
    <border>
      <left/>
      <right style="medium">
        <color theme="0"/>
      </right>
      <top/>
      <bottom/>
      <diagonal/>
    </border>
    <border>
      <left style="medium">
        <color theme="0"/>
      </left>
      <right/>
      <top/>
      <bottom style="medium">
        <color theme="0"/>
      </bottom>
      <diagonal/>
    </border>
    <border>
      <left/>
      <right/>
      <top/>
      <bottom style="medium">
        <color theme="0"/>
      </bottom>
      <diagonal/>
    </border>
    <border>
      <left/>
      <right style="medium">
        <color theme="0"/>
      </right>
      <top/>
      <bottom style="medium">
        <color theme="0"/>
      </bottom>
      <diagonal/>
    </border>
    <border>
      <left style="medium">
        <color theme="1"/>
      </left>
      <right/>
      <top style="medium">
        <color theme="1"/>
      </top>
      <bottom style="medium">
        <color theme="1"/>
      </bottom>
      <diagonal/>
    </border>
    <border>
      <left/>
      <right style="medium">
        <color theme="1"/>
      </right>
      <top style="medium">
        <color theme="1"/>
      </top>
      <bottom style="medium">
        <color theme="1"/>
      </bottom>
      <diagonal/>
    </border>
    <border>
      <left/>
      <right style="thin">
        <color theme="0"/>
      </right>
      <top style="thin">
        <color theme="0"/>
      </top>
      <bottom style="thin">
        <color theme="0"/>
      </bottom>
      <diagonal/>
    </border>
    <border>
      <left style="medium">
        <color theme="1"/>
      </left>
      <right style="medium">
        <color indexed="64"/>
      </right>
      <top style="medium">
        <color theme="1"/>
      </top>
      <bottom style="thin">
        <color indexed="64"/>
      </bottom>
      <diagonal/>
    </border>
    <border>
      <left style="thin">
        <color indexed="64"/>
      </left>
      <right style="thin">
        <color indexed="64"/>
      </right>
      <top style="medium">
        <color theme="1"/>
      </top>
      <bottom style="thin">
        <color indexed="64"/>
      </bottom>
      <diagonal/>
    </border>
    <border>
      <left style="thin">
        <color indexed="64"/>
      </left>
      <right style="medium">
        <color theme="1"/>
      </right>
      <top style="medium">
        <color theme="1"/>
      </top>
      <bottom style="thin">
        <color indexed="64"/>
      </bottom>
      <diagonal/>
    </border>
    <border>
      <left style="medium">
        <color theme="1"/>
      </left>
      <right style="medium">
        <color indexed="64"/>
      </right>
      <top style="medium">
        <color indexed="64"/>
      </top>
      <bottom style="thin">
        <color indexed="64"/>
      </bottom>
      <diagonal/>
    </border>
    <border>
      <left style="thin">
        <color indexed="64"/>
      </left>
      <right style="medium">
        <color theme="1"/>
      </right>
      <top style="thin">
        <color indexed="64"/>
      </top>
      <bottom style="thin">
        <color indexed="64"/>
      </bottom>
      <diagonal/>
    </border>
    <border>
      <left style="medium">
        <color theme="1"/>
      </left>
      <right style="medium">
        <color indexed="64"/>
      </right>
      <top style="medium">
        <color indexed="64"/>
      </top>
      <bottom style="medium">
        <color theme="1"/>
      </bottom>
      <diagonal/>
    </border>
    <border>
      <left style="thin">
        <color indexed="64"/>
      </left>
      <right style="thin">
        <color indexed="64"/>
      </right>
      <top/>
      <bottom style="medium">
        <color theme="1"/>
      </bottom>
      <diagonal/>
    </border>
    <border>
      <left style="thin">
        <color indexed="64"/>
      </left>
      <right style="thin">
        <color indexed="64"/>
      </right>
      <top style="thin">
        <color indexed="64"/>
      </top>
      <bottom style="medium">
        <color theme="1"/>
      </bottom>
      <diagonal/>
    </border>
    <border>
      <left style="thin">
        <color indexed="64"/>
      </left>
      <right style="medium">
        <color theme="1"/>
      </right>
      <top style="thin">
        <color indexed="64"/>
      </top>
      <bottom style="medium">
        <color theme="1"/>
      </bottom>
      <diagonal/>
    </border>
    <border>
      <left style="medium">
        <color theme="1"/>
      </left>
      <right style="thin">
        <color indexed="64"/>
      </right>
      <top style="medium">
        <color theme="1"/>
      </top>
      <bottom style="thin">
        <color indexed="64"/>
      </bottom>
      <diagonal/>
    </border>
    <border>
      <left style="medium">
        <color theme="1"/>
      </left>
      <right style="thin">
        <color indexed="64"/>
      </right>
      <top style="thin">
        <color indexed="64"/>
      </top>
      <bottom style="thin">
        <color indexed="64"/>
      </bottom>
      <diagonal/>
    </border>
    <border>
      <left style="medium">
        <color theme="1"/>
      </left>
      <right style="thin">
        <color indexed="64"/>
      </right>
      <top style="thin">
        <color indexed="64"/>
      </top>
      <bottom style="medium">
        <color theme="1"/>
      </bottom>
      <diagonal/>
    </border>
    <border>
      <left style="medium">
        <color theme="1"/>
      </left>
      <right style="medium">
        <color theme="1"/>
      </right>
      <top/>
      <bottom style="medium">
        <color theme="1"/>
      </bottom>
      <diagonal/>
    </border>
    <border>
      <left/>
      <right style="thin">
        <color theme="1"/>
      </right>
      <top/>
      <bottom style="medium">
        <color theme="1"/>
      </bottom>
      <diagonal/>
    </border>
    <border>
      <left style="thin">
        <color theme="1"/>
      </left>
      <right style="thin">
        <color theme="1"/>
      </right>
      <top/>
      <bottom style="medium">
        <color theme="1"/>
      </bottom>
      <diagonal/>
    </border>
    <border>
      <left style="thin">
        <color theme="1"/>
      </left>
      <right style="medium">
        <color theme="1"/>
      </right>
      <top/>
      <bottom style="medium">
        <color theme="1"/>
      </bottom>
      <diagonal/>
    </border>
  </borders>
  <cellStyleXfs count="6">
    <xf numFmtId="0" fontId="0" fillId="0" borderId="0"/>
    <xf numFmtId="9" fontId="20" fillId="0" borderId="0" applyFont="0" applyFill="0" applyBorder="0" applyAlignment="0" applyProtection="0"/>
    <xf numFmtId="9" fontId="12" fillId="0" borderId="0" applyFont="0" applyFill="0" applyBorder="0" applyAlignment="0" applyProtection="0"/>
    <xf numFmtId="0" fontId="21" fillId="0" borderId="0"/>
    <xf numFmtId="0" fontId="11" fillId="0" borderId="0"/>
    <xf numFmtId="43" fontId="20" fillId="0" borderId="0" applyFont="0" applyFill="0" applyBorder="0" applyAlignment="0" applyProtection="0"/>
  </cellStyleXfs>
  <cellXfs count="945">
    <xf numFmtId="0" fontId="0" fillId="0" borderId="0" xfId="0"/>
    <xf numFmtId="0" fontId="1" fillId="0" borderId="0" xfId="0" applyFont="1"/>
    <xf numFmtId="0" fontId="4" fillId="0" borderId="0" xfId="0" applyFont="1"/>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wrapText="1"/>
    </xf>
    <xf numFmtId="0" fontId="22" fillId="0" borderId="0" xfId="0" applyFont="1"/>
    <xf numFmtId="0" fontId="1" fillId="4" borderId="2" xfId="0" applyFont="1" applyFill="1" applyBorder="1"/>
    <xf numFmtId="0" fontId="1" fillId="4" borderId="3" xfId="0" applyFont="1" applyFill="1" applyBorder="1"/>
    <xf numFmtId="0" fontId="4" fillId="4" borderId="3" xfId="0" applyFont="1" applyFill="1" applyBorder="1"/>
    <xf numFmtId="0" fontId="4" fillId="4" borderId="4" xfId="0" applyFont="1" applyFill="1" applyBorder="1"/>
    <xf numFmtId="0" fontId="2" fillId="4" borderId="5" xfId="0" applyFont="1" applyFill="1" applyBorder="1" applyAlignment="1">
      <alignment vertical="center"/>
    </xf>
    <xf numFmtId="0" fontId="1" fillId="4" borderId="5" xfId="0" applyFont="1" applyFill="1" applyBorder="1"/>
    <xf numFmtId="0" fontId="2" fillId="4" borderId="5" xfId="0" applyFont="1" applyFill="1" applyBorder="1" applyAlignment="1">
      <alignment horizontal="center" vertical="center"/>
    </xf>
    <xf numFmtId="0" fontId="2" fillId="4" borderId="0" xfId="0" applyFont="1" applyFill="1" applyAlignment="1">
      <alignment vertical="center"/>
    </xf>
    <xf numFmtId="0" fontId="1" fillId="4" borderId="0" xfId="0" applyFont="1" applyFill="1"/>
    <xf numFmtId="0" fontId="2" fillId="4" borderId="0" xfId="0" applyFont="1" applyFill="1" applyAlignment="1">
      <alignment horizontal="center" vertical="center"/>
    </xf>
    <xf numFmtId="0" fontId="22" fillId="5" borderId="0" xfId="0" applyFont="1" applyFill="1"/>
    <xf numFmtId="0" fontId="2" fillId="4" borderId="6" xfId="0" applyFont="1" applyFill="1" applyBorder="1" applyAlignment="1">
      <alignment vertical="center"/>
    </xf>
    <xf numFmtId="0" fontId="1" fillId="4" borderId="6" xfId="0" applyFont="1" applyFill="1" applyBorder="1"/>
    <xf numFmtId="0" fontId="2" fillId="4" borderId="6" xfId="0" applyFont="1" applyFill="1" applyBorder="1" applyAlignment="1">
      <alignment horizontal="center" vertical="center"/>
    </xf>
    <xf numFmtId="0" fontId="1" fillId="4" borderId="7" xfId="0" applyFont="1" applyFill="1" applyBorder="1"/>
    <xf numFmtId="0" fontId="1" fillId="4" borderId="8" xfId="0" applyFont="1" applyFill="1" applyBorder="1"/>
    <xf numFmtId="0" fontId="4" fillId="4" borderId="8" xfId="0" applyFont="1" applyFill="1" applyBorder="1"/>
    <xf numFmtId="0" fontId="1" fillId="4" borderId="9" xfId="0" applyFont="1" applyFill="1" applyBorder="1"/>
    <xf numFmtId="0" fontId="2" fillId="0" borderId="0" xfId="0" applyFont="1" applyAlignment="1">
      <alignment vertical="center"/>
    </xf>
    <xf numFmtId="0" fontId="2" fillId="0" borderId="0" xfId="0" applyFont="1" applyAlignment="1">
      <alignment horizontal="center" vertical="center"/>
    </xf>
    <xf numFmtId="0" fontId="3" fillId="0" borderId="0" xfId="0" applyFont="1" applyAlignment="1">
      <alignment horizontal="left" vertical="center"/>
    </xf>
    <xf numFmtId="168" fontId="2" fillId="3" borderId="1" xfId="0" applyNumberFormat="1" applyFont="1" applyFill="1" applyBorder="1" applyAlignment="1">
      <alignment horizontal="center" vertical="center"/>
    </xf>
    <xf numFmtId="165" fontId="2" fillId="6" borderId="1" xfId="0" applyNumberFormat="1" applyFont="1" applyFill="1" applyBorder="1" applyAlignment="1" applyProtection="1">
      <alignment horizontal="center" vertical="center"/>
      <protection locked="0"/>
    </xf>
    <xf numFmtId="169" fontId="2" fillId="3" borderId="1" xfId="0" applyNumberFormat="1" applyFont="1" applyFill="1" applyBorder="1" applyAlignment="1">
      <alignment horizontal="center" vertical="center"/>
    </xf>
    <xf numFmtId="0" fontId="1" fillId="4" borderId="8" xfId="0" applyFont="1" applyFill="1" applyBorder="1" applyAlignment="1">
      <alignment horizontal="left"/>
    </xf>
    <xf numFmtId="0" fontId="1" fillId="4" borderId="4" xfId="0" applyFont="1" applyFill="1" applyBorder="1"/>
    <xf numFmtId="0" fontId="3" fillId="4" borderId="6" xfId="0" applyFont="1" applyFill="1" applyBorder="1" applyAlignment="1">
      <alignment horizontal="left" vertical="center"/>
    </xf>
    <xf numFmtId="0" fontId="7" fillId="4" borderId="0" xfId="0" applyFont="1" applyFill="1" applyAlignment="1">
      <alignment vertical="center"/>
    </xf>
    <xf numFmtId="0" fontId="7" fillId="4" borderId="0" xfId="0" applyFont="1" applyFill="1" applyBorder="1" applyAlignment="1">
      <alignment vertical="center"/>
    </xf>
    <xf numFmtId="0" fontId="6" fillId="4" borderId="0" xfId="0" applyFont="1" applyFill="1" applyBorder="1" applyAlignment="1">
      <alignment vertical="center"/>
    </xf>
    <xf numFmtId="0" fontId="4" fillId="4" borderId="0" xfId="0" applyFont="1" applyFill="1" applyBorder="1"/>
    <xf numFmtId="0" fontId="2" fillId="4" borderId="0" xfId="0" applyFont="1" applyFill="1" applyBorder="1" applyAlignment="1">
      <alignment vertical="center"/>
    </xf>
    <xf numFmtId="0" fontId="1" fillId="4" borderId="0" xfId="0" applyFont="1" applyFill="1" applyBorder="1"/>
    <xf numFmtId="0" fontId="2" fillId="4" borderId="0" xfId="0" applyFont="1" applyFill="1" applyBorder="1" applyAlignment="1">
      <alignment horizontal="center" vertical="center"/>
    </xf>
    <xf numFmtId="0" fontId="1" fillId="4" borderId="0" xfId="0" applyFont="1" applyFill="1" applyBorder="1" applyAlignment="1">
      <alignment horizontal="center" vertical="center"/>
    </xf>
    <xf numFmtId="164" fontId="2" fillId="4" borderId="6" xfId="0" applyNumberFormat="1" applyFont="1" applyFill="1" applyBorder="1" applyAlignment="1">
      <alignment horizontal="center" vertical="center"/>
    </xf>
    <xf numFmtId="168" fontId="2" fillId="4" borderId="6" xfId="0" applyNumberFormat="1" applyFont="1" applyFill="1" applyBorder="1" applyAlignment="1">
      <alignment horizontal="center" vertical="center"/>
    </xf>
    <xf numFmtId="172" fontId="2" fillId="3" borderId="1" xfId="0" applyNumberFormat="1" applyFont="1" applyFill="1" applyBorder="1" applyAlignment="1">
      <alignment horizontal="center" vertical="center"/>
    </xf>
    <xf numFmtId="165" fontId="2" fillId="3" borderId="1" xfId="0" applyNumberFormat="1" applyFont="1" applyFill="1" applyBorder="1" applyAlignment="1">
      <alignment horizontal="center" vertical="center"/>
    </xf>
    <xf numFmtId="0" fontId="22" fillId="5" borderId="3" xfId="0" applyFont="1" applyFill="1" applyBorder="1"/>
    <xf numFmtId="0" fontId="22" fillId="5" borderId="0" xfId="0" applyFont="1" applyFill="1" applyBorder="1"/>
    <xf numFmtId="0" fontId="1" fillId="5" borderId="3" xfId="0" applyFont="1" applyFill="1" applyBorder="1"/>
    <xf numFmtId="0" fontId="3" fillId="5" borderId="0" xfId="0" applyFont="1" applyFill="1" applyBorder="1" applyAlignment="1">
      <alignment horizontal="left" vertical="center"/>
    </xf>
    <xf numFmtId="0" fontId="22" fillId="5" borderId="8" xfId="0" applyFont="1" applyFill="1" applyBorder="1"/>
    <xf numFmtId="0" fontId="1" fillId="5" borderId="8" xfId="0" applyFont="1" applyFill="1" applyBorder="1"/>
    <xf numFmtId="0" fontId="22" fillId="5" borderId="6" xfId="0" applyFont="1" applyFill="1" applyBorder="1"/>
    <xf numFmtId="0" fontId="21" fillId="0" borderId="0" xfId="0" applyFont="1"/>
    <xf numFmtId="0" fontId="7" fillId="4" borderId="2" xfId="0" applyFont="1" applyFill="1" applyBorder="1" applyAlignment="1">
      <alignment vertical="center"/>
    </xf>
    <xf numFmtId="0" fontId="7" fillId="4" borderId="5" xfId="0" applyFont="1" applyFill="1" applyBorder="1" applyAlignment="1">
      <alignment vertical="center"/>
    </xf>
    <xf numFmtId="0" fontId="7" fillId="4" borderId="7" xfId="0" applyFont="1" applyFill="1" applyBorder="1" applyAlignment="1">
      <alignment vertical="center"/>
    </xf>
    <xf numFmtId="0" fontId="7" fillId="4" borderId="3" xfId="0" applyFont="1" applyFill="1" applyBorder="1" applyAlignment="1">
      <alignment vertical="center"/>
    </xf>
    <xf numFmtId="0" fontId="7" fillId="4" borderId="8" xfId="0" applyFont="1" applyFill="1" applyBorder="1" applyAlignment="1">
      <alignment vertical="center"/>
    </xf>
    <xf numFmtId="0" fontId="7" fillId="4" borderId="4" xfId="0" applyFont="1" applyFill="1" applyBorder="1" applyAlignment="1">
      <alignment vertical="center"/>
    </xf>
    <xf numFmtId="0" fontId="7" fillId="4" borderId="6" xfId="0" applyFont="1" applyFill="1" applyBorder="1" applyAlignment="1">
      <alignment vertical="center"/>
    </xf>
    <xf numFmtId="0" fontId="7" fillId="4" borderId="9" xfId="0" applyFont="1" applyFill="1" applyBorder="1" applyAlignment="1">
      <alignment vertical="center"/>
    </xf>
    <xf numFmtId="171" fontId="22" fillId="0" borderId="0" xfId="0" applyNumberFormat="1" applyFont="1"/>
    <xf numFmtId="0" fontId="6" fillId="4" borderId="1" xfId="0" applyFont="1" applyFill="1" applyBorder="1" applyAlignment="1">
      <alignment horizontal="justify" vertical="center" wrapText="1"/>
    </xf>
    <xf numFmtId="0" fontId="6" fillId="4" borderId="10" xfId="0" applyFont="1" applyFill="1" applyBorder="1" applyAlignment="1">
      <alignment horizontal="center" vertical="center" wrapText="1"/>
    </xf>
    <xf numFmtId="0" fontId="2" fillId="4" borderId="7" xfId="0" applyFont="1" applyFill="1" applyBorder="1" applyAlignment="1">
      <alignment horizontal="center" vertical="center"/>
    </xf>
    <xf numFmtId="0" fontId="5" fillId="4" borderId="0" xfId="0" applyFont="1" applyFill="1" applyAlignment="1">
      <alignment vertical="center"/>
    </xf>
    <xf numFmtId="0" fontId="2" fillId="4" borderId="8" xfId="0" applyFont="1" applyFill="1" applyBorder="1" applyAlignment="1">
      <alignment horizontal="center" vertical="center"/>
    </xf>
    <xf numFmtId="0" fontId="3" fillId="4" borderId="0" xfId="0" applyFont="1" applyFill="1" applyAlignment="1">
      <alignment horizontal="left" vertical="center"/>
    </xf>
    <xf numFmtId="0" fontId="2" fillId="4" borderId="0" xfId="0" applyFont="1" applyFill="1" applyAlignment="1">
      <alignment horizontal="left" vertical="center"/>
    </xf>
    <xf numFmtId="0" fontId="0" fillId="5" borderId="3" xfId="0" applyFill="1" applyBorder="1"/>
    <xf numFmtId="0" fontId="6" fillId="3" borderId="1" xfId="0" applyFont="1" applyFill="1" applyBorder="1" applyAlignment="1">
      <alignment horizontal="center" vertical="center" wrapText="1"/>
    </xf>
    <xf numFmtId="0" fontId="0" fillId="5" borderId="0" xfId="0" applyFill="1" applyBorder="1"/>
    <xf numFmtId="0" fontId="0" fillId="5" borderId="8" xfId="0" applyFill="1" applyBorder="1"/>
    <xf numFmtId="170" fontId="2" fillId="7" borderId="1" xfId="0" applyNumberFormat="1" applyFont="1" applyFill="1" applyBorder="1" applyAlignment="1">
      <alignment horizontal="center" vertical="center"/>
    </xf>
    <xf numFmtId="173" fontId="2" fillId="7" borderId="1" xfId="0" applyNumberFormat="1" applyFont="1" applyFill="1" applyBorder="1" applyAlignment="1">
      <alignment horizontal="center" vertical="center"/>
    </xf>
    <xf numFmtId="174" fontId="2" fillId="7" borderId="1" xfId="0" applyNumberFormat="1" applyFont="1" applyFill="1" applyBorder="1" applyAlignment="1">
      <alignment horizontal="center" vertical="center"/>
    </xf>
    <xf numFmtId="9" fontId="22" fillId="0" borderId="0" xfId="1" applyFont="1"/>
    <xf numFmtId="0" fontId="1" fillId="4" borderId="11" xfId="0" applyFont="1" applyFill="1" applyBorder="1" applyAlignment="1">
      <alignment vertical="center"/>
    </xf>
    <xf numFmtId="9" fontId="1" fillId="4" borderId="12" xfId="0" applyNumberFormat="1" applyFont="1" applyFill="1" applyBorder="1" applyAlignment="1">
      <alignment horizontal="center" vertical="center"/>
    </xf>
    <xf numFmtId="2" fontId="1" fillId="4" borderId="12" xfId="0" applyNumberFormat="1" applyFont="1" applyFill="1" applyBorder="1" applyAlignment="1">
      <alignment horizontal="center" vertical="center"/>
    </xf>
    <xf numFmtId="0" fontId="22" fillId="0" borderId="0" xfId="0" applyFont="1"/>
    <xf numFmtId="49" fontId="23" fillId="7" borderId="13" xfId="0" applyNumberFormat="1" applyFont="1" applyFill="1" applyBorder="1" applyAlignment="1">
      <alignment vertical="center"/>
    </xf>
    <xf numFmtId="49" fontId="23" fillId="7" borderId="60" xfId="0" applyNumberFormat="1" applyFont="1" applyFill="1" applyBorder="1" applyAlignment="1">
      <alignment vertical="center"/>
    </xf>
    <xf numFmtId="0" fontId="23" fillId="7" borderId="14" xfId="0" applyNumberFormat="1" applyFont="1" applyFill="1" applyBorder="1" applyAlignment="1">
      <alignment vertical="center"/>
    </xf>
    <xf numFmtId="0" fontId="24" fillId="0" borderId="0" xfId="0" applyFont="1"/>
    <xf numFmtId="176" fontId="2" fillId="6" borderId="1" xfId="0" applyNumberFormat="1" applyFont="1" applyFill="1" applyBorder="1" applyAlignment="1" applyProtection="1">
      <alignment horizontal="center" vertical="center"/>
      <protection locked="0"/>
    </xf>
    <xf numFmtId="0" fontId="21" fillId="5" borderId="1" xfId="0" applyFont="1" applyFill="1" applyBorder="1" applyAlignment="1">
      <alignment horizontal="center" vertical="center"/>
    </xf>
    <xf numFmtId="0" fontId="21" fillId="5" borderId="11" xfId="0" applyFont="1" applyFill="1" applyBorder="1" applyAlignment="1">
      <alignment horizontal="center" vertical="center"/>
    </xf>
    <xf numFmtId="0" fontId="21" fillId="5" borderId="16" xfId="0" applyFont="1" applyFill="1" applyBorder="1" applyAlignment="1">
      <alignment horizontal="center" vertical="center"/>
    </xf>
    <xf numFmtId="0" fontId="21" fillId="5" borderId="17" xfId="0" applyFont="1" applyFill="1" applyBorder="1" applyAlignment="1">
      <alignment horizontal="center" vertical="center"/>
    </xf>
    <xf numFmtId="0" fontId="21" fillId="5" borderId="18" xfId="0" applyFont="1" applyFill="1" applyBorder="1" applyAlignment="1">
      <alignment horizontal="center" vertical="center"/>
    </xf>
    <xf numFmtId="0" fontId="21" fillId="5" borderId="19" xfId="0" applyFont="1" applyFill="1" applyBorder="1" applyAlignment="1">
      <alignment horizontal="center" vertical="center"/>
    </xf>
    <xf numFmtId="0" fontId="21" fillId="5" borderId="20" xfId="0" applyFont="1" applyFill="1" applyBorder="1" applyAlignment="1">
      <alignment horizontal="center" vertical="center"/>
    </xf>
    <xf numFmtId="0" fontId="21" fillId="5" borderId="21" xfId="0" applyFont="1" applyFill="1" applyBorder="1" applyAlignment="1">
      <alignment horizontal="center" vertical="center"/>
    </xf>
    <xf numFmtId="180" fontId="2" fillId="3" borderId="1" xfId="0" applyNumberFormat="1" applyFont="1" applyFill="1" applyBorder="1" applyAlignment="1">
      <alignment horizontal="center" vertical="center"/>
    </xf>
    <xf numFmtId="2" fontId="21" fillId="5" borderId="22" xfId="0" applyNumberFormat="1" applyFont="1" applyFill="1" applyBorder="1" applyAlignment="1">
      <alignment horizontal="center" vertical="center"/>
    </xf>
    <xf numFmtId="2" fontId="21" fillId="5" borderId="23" xfId="0" applyNumberFormat="1" applyFont="1" applyFill="1" applyBorder="1" applyAlignment="1">
      <alignment horizontal="center" vertical="center"/>
    </xf>
    <xf numFmtId="3" fontId="21" fillId="5" borderId="24" xfId="0" applyNumberFormat="1" applyFont="1" applyFill="1" applyBorder="1" applyAlignment="1">
      <alignment horizontal="center" vertical="center"/>
    </xf>
    <xf numFmtId="3" fontId="21" fillId="5" borderId="25" xfId="0" applyNumberFormat="1" applyFont="1" applyFill="1" applyBorder="1" applyAlignment="1">
      <alignment horizontal="center" vertical="center"/>
    </xf>
    <xf numFmtId="3" fontId="21" fillId="5" borderId="22" xfId="0" applyNumberFormat="1" applyFont="1" applyFill="1" applyBorder="1" applyAlignment="1">
      <alignment horizontal="center" vertical="center"/>
    </xf>
    <xf numFmtId="3" fontId="21" fillId="5" borderId="23" xfId="0" applyNumberFormat="1" applyFont="1" applyFill="1" applyBorder="1" applyAlignment="1">
      <alignment horizontal="center" vertical="center"/>
    </xf>
    <xf numFmtId="2" fontId="21" fillId="5" borderId="15" xfId="0" applyNumberFormat="1" applyFont="1" applyFill="1" applyBorder="1" applyAlignment="1">
      <alignment horizontal="center" vertical="center"/>
    </xf>
    <xf numFmtId="2" fontId="21" fillId="5" borderId="24" xfId="0" applyNumberFormat="1" applyFont="1" applyFill="1" applyBorder="1" applyAlignment="1">
      <alignment horizontal="center" vertical="center"/>
    </xf>
    <xf numFmtId="2" fontId="21" fillId="5" borderId="25" xfId="0" applyNumberFormat="1" applyFont="1" applyFill="1" applyBorder="1" applyAlignment="1">
      <alignment horizontal="center" vertical="center"/>
    </xf>
    <xf numFmtId="0" fontId="1" fillId="4" borderId="0" xfId="0" applyFont="1" applyFill="1" applyBorder="1" applyAlignment="1">
      <alignment horizontal="center"/>
    </xf>
    <xf numFmtId="0" fontId="25" fillId="4" borderId="0" xfId="0" applyFont="1" applyFill="1" applyBorder="1" applyAlignment="1">
      <alignment horizontal="center"/>
    </xf>
    <xf numFmtId="0" fontId="6" fillId="2" borderId="1" xfId="0" applyFont="1" applyFill="1" applyBorder="1" applyAlignment="1">
      <alignment horizontal="center" vertical="center"/>
    </xf>
    <xf numFmtId="0" fontId="1" fillId="4" borderId="9" xfId="0" applyFont="1" applyFill="1" applyBorder="1" applyAlignment="1">
      <alignment vertical="center" wrapText="1"/>
    </xf>
    <xf numFmtId="0" fontId="6" fillId="2" borderId="10" xfId="0" applyFont="1" applyFill="1" applyBorder="1" applyAlignment="1">
      <alignment vertical="center"/>
    </xf>
    <xf numFmtId="0" fontId="2" fillId="4" borderId="26" xfId="0" applyFont="1" applyFill="1" applyBorder="1" applyAlignment="1">
      <alignment horizontal="center" vertical="center"/>
    </xf>
    <xf numFmtId="0" fontId="2" fillId="4" borderId="1" xfId="0" applyFont="1" applyFill="1" applyBorder="1" applyAlignment="1">
      <alignment horizontal="center" vertical="center"/>
    </xf>
    <xf numFmtId="0" fontId="1" fillId="4" borderId="10" xfId="0" applyFont="1" applyFill="1" applyBorder="1" applyAlignment="1">
      <alignment vertical="center" wrapText="1"/>
    </xf>
    <xf numFmtId="0" fontId="6" fillId="2" borderId="10" xfId="0" applyFont="1" applyFill="1" applyBorder="1" applyAlignment="1">
      <alignment vertical="center" wrapText="1"/>
    </xf>
    <xf numFmtId="176" fontId="2" fillId="3" borderId="1" xfId="0" applyNumberFormat="1" applyFont="1" applyFill="1" applyBorder="1" applyAlignment="1">
      <alignment horizontal="center" vertical="center"/>
    </xf>
    <xf numFmtId="2" fontId="21" fillId="5" borderId="19" xfId="0" applyNumberFormat="1" applyFont="1" applyFill="1" applyBorder="1" applyAlignment="1">
      <alignment horizontal="center" vertical="center"/>
    </xf>
    <xf numFmtId="166" fontId="2" fillId="3" borderId="1" xfId="0" applyNumberFormat="1" applyFont="1" applyFill="1" applyBorder="1" applyAlignment="1">
      <alignment horizontal="center" vertical="center"/>
    </xf>
    <xf numFmtId="177" fontId="2" fillId="3" borderId="1" xfId="0" applyNumberFormat="1" applyFont="1" applyFill="1" applyBorder="1" applyAlignment="1">
      <alignment horizontal="center" vertical="center"/>
    </xf>
    <xf numFmtId="9" fontId="21" fillId="5" borderId="25" xfId="1" applyFont="1" applyFill="1" applyBorder="1" applyAlignment="1">
      <alignment horizontal="center" vertical="center"/>
    </xf>
    <xf numFmtId="181" fontId="21" fillId="5" borderId="15" xfId="1" applyNumberFormat="1" applyFont="1" applyFill="1" applyBorder="1" applyAlignment="1">
      <alignment horizontal="center" vertical="center"/>
    </xf>
    <xf numFmtId="181" fontId="21" fillId="5" borderId="24" xfId="1" applyNumberFormat="1" applyFont="1" applyFill="1" applyBorder="1" applyAlignment="1">
      <alignment horizontal="center" vertical="center"/>
    </xf>
    <xf numFmtId="181" fontId="21" fillId="5" borderId="19" xfId="1" applyNumberFormat="1" applyFont="1" applyFill="1" applyBorder="1" applyAlignment="1">
      <alignment horizontal="center" vertical="center"/>
    </xf>
    <xf numFmtId="181" fontId="21" fillId="5" borderId="22" xfId="1" applyNumberFormat="1" applyFont="1" applyFill="1" applyBorder="1" applyAlignment="1">
      <alignment horizontal="center" vertical="center"/>
    </xf>
    <xf numFmtId="181" fontId="21" fillId="5" borderId="23" xfId="1" applyNumberFormat="1" applyFont="1" applyFill="1" applyBorder="1" applyAlignment="1">
      <alignment horizontal="center" vertical="center"/>
    </xf>
    <xf numFmtId="0" fontId="26" fillId="5" borderId="0" xfId="0" applyFont="1" applyFill="1" applyBorder="1"/>
    <xf numFmtId="0" fontId="24" fillId="5" borderId="3" xfId="0" applyFont="1" applyFill="1" applyBorder="1"/>
    <xf numFmtId="0" fontId="27" fillId="0" borderId="0" xfId="0" applyFont="1"/>
    <xf numFmtId="0" fontId="28" fillId="4" borderId="0" xfId="0" applyFont="1" applyFill="1" applyBorder="1" applyAlignment="1">
      <alignment horizontal="center"/>
    </xf>
    <xf numFmtId="182" fontId="2" fillId="3" borderId="1" xfId="0" applyNumberFormat="1" applyFont="1" applyFill="1" applyBorder="1" applyAlignment="1">
      <alignment horizontal="center" vertical="center"/>
    </xf>
    <xf numFmtId="167" fontId="2" fillId="3" borderId="1" xfId="0" applyNumberFormat="1" applyFont="1" applyFill="1" applyBorder="1" applyAlignment="1">
      <alignment horizontal="center" vertical="center"/>
    </xf>
    <xf numFmtId="1" fontId="21" fillId="5" borderId="15" xfId="0" applyNumberFormat="1" applyFont="1" applyFill="1" applyBorder="1" applyAlignment="1">
      <alignment horizontal="center" vertical="center"/>
    </xf>
    <xf numFmtId="1" fontId="21" fillId="5" borderId="24" xfId="0" applyNumberFormat="1" applyFont="1" applyFill="1" applyBorder="1" applyAlignment="1">
      <alignment horizontal="center" vertical="center"/>
    </xf>
    <xf numFmtId="1" fontId="21" fillId="5" borderId="22" xfId="0" applyNumberFormat="1" applyFont="1" applyFill="1" applyBorder="1" applyAlignment="1">
      <alignment horizontal="center" vertical="center"/>
    </xf>
    <xf numFmtId="1" fontId="21" fillId="5" borderId="23" xfId="0" applyNumberFormat="1" applyFont="1" applyFill="1" applyBorder="1" applyAlignment="1">
      <alignment horizontal="center" vertical="center"/>
    </xf>
    <xf numFmtId="0" fontId="29" fillId="0" borderId="0" xfId="0" applyFont="1"/>
    <xf numFmtId="0" fontId="30" fillId="0" borderId="0" xfId="0" applyFont="1" applyAlignment="1">
      <alignment vertical="top"/>
    </xf>
    <xf numFmtId="0" fontId="22" fillId="0" borderId="0" xfId="0" applyFont="1" applyAlignment="1">
      <alignment vertical="center"/>
    </xf>
    <xf numFmtId="0" fontId="2" fillId="4" borderId="0" xfId="0" applyFont="1" applyFill="1" applyBorder="1" applyAlignment="1">
      <alignment horizontal="center" wrapText="1"/>
    </xf>
    <xf numFmtId="0" fontId="2" fillId="4" borderId="0" xfId="0" applyFont="1" applyFill="1" applyBorder="1" applyAlignment="1">
      <alignment wrapText="1"/>
    </xf>
    <xf numFmtId="0" fontId="0" fillId="0" borderId="0" xfId="0" applyAlignment="1">
      <alignment horizontal="left"/>
    </xf>
    <xf numFmtId="0" fontId="21" fillId="0" borderId="26" xfId="0" applyFont="1" applyBorder="1" applyAlignment="1">
      <alignment horizontal="center" vertical="center" wrapText="1"/>
    </xf>
    <xf numFmtId="9" fontId="20" fillId="0" borderId="0" xfId="1" applyFont="1"/>
    <xf numFmtId="178" fontId="2" fillId="9" borderId="1" xfId="0" applyNumberFormat="1" applyFont="1" applyFill="1" applyBorder="1" applyAlignment="1">
      <alignment horizontal="center" vertical="center"/>
    </xf>
    <xf numFmtId="9" fontId="0" fillId="0" borderId="0" xfId="0" applyNumberFormat="1" applyBorder="1" applyAlignment="1">
      <alignment horizontal="center"/>
    </xf>
    <xf numFmtId="9" fontId="0" fillId="0" borderId="6" xfId="0" applyNumberFormat="1" applyBorder="1" applyAlignment="1">
      <alignment horizontal="center"/>
    </xf>
    <xf numFmtId="0" fontId="0" fillId="0" borderId="3" xfId="0" applyBorder="1" applyAlignment="1">
      <alignment horizontal="left"/>
    </xf>
    <xf numFmtId="0" fontId="21" fillId="0" borderId="3" xfId="0" applyFont="1" applyBorder="1" applyAlignment="1">
      <alignment horizontal="left" vertical="center"/>
    </xf>
    <xf numFmtId="0" fontId="0" fillId="0" borderId="3" xfId="0" quotePrefix="1" applyBorder="1" applyAlignment="1">
      <alignment horizontal="left"/>
    </xf>
    <xf numFmtId="0" fontId="21" fillId="0" borderId="4" xfId="0" applyFont="1" applyBorder="1" applyAlignment="1">
      <alignment horizontal="left" vertical="center"/>
    </xf>
    <xf numFmtId="0" fontId="31" fillId="10" borderId="13" xfId="0" applyFont="1" applyFill="1" applyBorder="1" applyAlignment="1">
      <alignment horizontal="center" vertical="center"/>
    </xf>
    <xf numFmtId="0" fontId="31" fillId="10" borderId="14" xfId="0" applyFont="1" applyFill="1" applyBorder="1" applyAlignment="1">
      <alignment horizontal="center"/>
    </xf>
    <xf numFmtId="0" fontId="31" fillId="10" borderId="10" xfId="0" applyFont="1" applyFill="1" applyBorder="1" applyAlignment="1">
      <alignment horizontal="center"/>
    </xf>
    <xf numFmtId="0" fontId="0" fillId="5" borderId="14" xfId="0" applyFill="1" applyBorder="1" applyAlignment="1">
      <alignment horizontal="center"/>
    </xf>
    <xf numFmtId="0" fontId="0" fillId="5" borderId="1" xfId="0" applyFill="1" applyBorder="1" applyAlignment="1">
      <alignment horizontal="center"/>
    </xf>
    <xf numFmtId="0" fontId="0" fillId="0" borderId="27" xfId="0" applyBorder="1" applyAlignment="1">
      <alignment horizontal="center"/>
    </xf>
    <xf numFmtId="0" fontId="21" fillId="0" borderId="27" xfId="0" applyFont="1" applyBorder="1" applyAlignment="1">
      <alignment horizontal="center" vertical="center" wrapText="1"/>
    </xf>
    <xf numFmtId="0" fontId="0" fillId="5" borderId="13" xfId="0" applyFill="1" applyBorder="1" applyAlignment="1">
      <alignment horizontal="left"/>
    </xf>
    <xf numFmtId="0" fontId="32" fillId="5" borderId="0" xfId="0" applyFont="1" applyFill="1"/>
    <xf numFmtId="0" fontId="0" fillId="5" borderId="0" xfId="0" applyFill="1"/>
    <xf numFmtId="0" fontId="0" fillId="5" borderId="2" xfId="0" applyFill="1" applyBorder="1"/>
    <xf numFmtId="0" fontId="0" fillId="5" borderId="5" xfId="0" applyFill="1" applyBorder="1"/>
    <xf numFmtId="0" fontId="0" fillId="5" borderId="5" xfId="0" applyFill="1" applyBorder="1" applyAlignment="1">
      <alignment horizontal="left"/>
    </xf>
    <xf numFmtId="0" fontId="0" fillId="5" borderId="7" xfId="0" applyFill="1" applyBorder="1"/>
    <xf numFmtId="0" fontId="0" fillId="5" borderId="0" xfId="0" applyFill="1" applyBorder="1" applyAlignment="1">
      <alignment horizontal="left"/>
    </xf>
    <xf numFmtId="0" fontId="0" fillId="5" borderId="4" xfId="0" applyFill="1" applyBorder="1"/>
    <xf numFmtId="0" fontId="0" fillId="5" borderId="6" xfId="0" applyFill="1" applyBorder="1"/>
    <xf numFmtId="0" fontId="0" fillId="5" borderId="9" xfId="0" applyFill="1" applyBorder="1"/>
    <xf numFmtId="0" fontId="33" fillId="5" borderId="0" xfId="0" applyFont="1" applyFill="1" applyBorder="1" applyAlignment="1">
      <alignment horizontal="center" vertical="center"/>
    </xf>
    <xf numFmtId="0" fontId="0" fillId="5" borderId="0" xfId="0" applyFill="1" applyBorder="1" applyAlignment="1">
      <alignment wrapText="1"/>
    </xf>
    <xf numFmtId="0" fontId="34" fillId="5" borderId="0" xfId="0" applyFont="1" applyFill="1" applyBorder="1"/>
    <xf numFmtId="0" fontId="35" fillId="5" borderId="0" xfId="0" applyFont="1" applyFill="1" applyBorder="1"/>
    <xf numFmtId="0" fontId="21" fillId="5" borderId="26" xfId="0" applyFont="1" applyFill="1" applyBorder="1" applyAlignment="1">
      <alignment horizontal="center" vertical="center"/>
    </xf>
    <xf numFmtId="1" fontId="21" fillId="5" borderId="19" xfId="0" applyNumberFormat="1" applyFont="1" applyFill="1" applyBorder="1" applyAlignment="1">
      <alignment horizontal="center" vertical="center"/>
    </xf>
    <xf numFmtId="1" fontId="21" fillId="5" borderId="25" xfId="0" applyNumberFormat="1" applyFont="1" applyFill="1" applyBorder="1" applyAlignment="1">
      <alignment horizontal="center" vertical="center"/>
    </xf>
    <xf numFmtId="181" fontId="2" fillId="11" borderId="1" xfId="1" applyNumberFormat="1" applyFont="1" applyFill="1" applyBorder="1" applyAlignment="1">
      <alignment horizontal="center" vertical="center"/>
    </xf>
    <xf numFmtId="0" fontId="22" fillId="5" borderId="29" xfId="0" applyFont="1" applyFill="1" applyBorder="1"/>
    <xf numFmtId="0" fontId="22" fillId="5" borderId="30" xfId="0" applyFont="1" applyFill="1" applyBorder="1"/>
    <xf numFmtId="0" fontId="22" fillId="5" borderId="31" xfId="0" applyFont="1" applyFill="1" applyBorder="1"/>
    <xf numFmtId="176" fontId="2" fillId="11" borderId="1" xfId="0" applyNumberFormat="1" applyFont="1" applyFill="1" applyBorder="1" applyAlignment="1">
      <alignment horizontal="center" vertical="center"/>
    </xf>
    <xf numFmtId="183" fontId="2" fillId="7" borderId="1" xfId="0" applyNumberFormat="1" applyFont="1" applyFill="1" applyBorder="1" applyAlignment="1">
      <alignment horizontal="center" vertical="center"/>
    </xf>
    <xf numFmtId="0" fontId="6" fillId="0" borderId="0" xfId="0" applyFont="1" applyAlignment="1">
      <alignment vertical="center"/>
    </xf>
    <xf numFmtId="0" fontId="1" fillId="0" borderId="0" xfId="0" applyFont="1" applyAlignment="1">
      <alignment vertical="center"/>
    </xf>
    <xf numFmtId="0" fontId="2" fillId="0" borderId="0" xfId="0" applyFont="1"/>
    <xf numFmtId="0" fontId="1" fillId="5" borderId="2" xfId="0" applyFont="1" applyFill="1" applyBorder="1"/>
    <xf numFmtId="0" fontId="2" fillId="5" borderId="5" xfId="0" applyFont="1" applyFill="1" applyBorder="1" applyAlignment="1">
      <alignment vertical="center"/>
    </xf>
    <xf numFmtId="0" fontId="1" fillId="5" borderId="5" xfId="0" applyFont="1" applyFill="1" applyBorder="1"/>
    <xf numFmtId="0" fontId="1" fillId="5" borderId="7" xfId="0" applyFont="1" applyFill="1" applyBorder="1"/>
    <xf numFmtId="0" fontId="3" fillId="5" borderId="0" xfId="0" applyFont="1" applyFill="1" applyAlignment="1">
      <alignment vertical="center"/>
    </xf>
    <xf numFmtId="0" fontId="3" fillId="5" borderId="8" xfId="0" applyFont="1" applyFill="1" applyBorder="1" applyAlignment="1">
      <alignment vertical="center"/>
    </xf>
    <xf numFmtId="0" fontId="1" fillId="5" borderId="4" xfId="0" applyFont="1" applyFill="1" applyBorder="1"/>
    <xf numFmtId="0" fontId="3" fillId="5" borderId="6" xfId="0" applyFont="1" applyFill="1" applyBorder="1" applyAlignment="1">
      <alignment horizontal="left" vertical="center"/>
    </xf>
    <xf numFmtId="0" fontId="3" fillId="5" borderId="9" xfId="0" applyFont="1" applyFill="1" applyBorder="1" applyAlignment="1">
      <alignment horizontal="left" vertical="center"/>
    </xf>
    <xf numFmtId="0" fontId="1" fillId="5" borderId="0" xfId="0" applyFont="1" applyFill="1"/>
    <xf numFmtId="0" fontId="1" fillId="5" borderId="6" xfId="0" applyFont="1" applyFill="1" applyBorder="1"/>
    <xf numFmtId="0" fontId="1" fillId="5" borderId="9" xfId="0" applyFont="1" applyFill="1" applyBorder="1"/>
    <xf numFmtId="0" fontId="6" fillId="5" borderId="3" xfId="0" applyFont="1" applyFill="1" applyBorder="1" applyAlignment="1">
      <alignment vertical="center"/>
    </xf>
    <xf numFmtId="0" fontId="1" fillId="5" borderId="3" xfId="0" applyFont="1" applyFill="1" applyBorder="1" applyAlignment="1">
      <alignment vertical="center"/>
    </xf>
    <xf numFmtId="0" fontId="6" fillId="0" borderId="0" xfId="0" applyFont="1" applyAlignment="1">
      <alignment horizontal="center" vertical="center"/>
    </xf>
    <xf numFmtId="0" fontId="36" fillId="5" borderId="3" xfId="0" applyFont="1" applyFill="1" applyBorder="1" applyAlignment="1">
      <alignment horizontal="center" vertical="center"/>
    </xf>
    <xf numFmtId="0" fontId="2" fillId="13" borderId="1" xfId="0" applyFont="1" applyFill="1" applyBorder="1" applyAlignment="1">
      <alignment horizontal="center" vertical="center" wrapText="1"/>
    </xf>
    <xf numFmtId="0" fontId="2" fillId="13" borderId="1" xfId="0" applyFont="1" applyFill="1" applyBorder="1" applyAlignment="1">
      <alignment horizontal="center" vertical="center"/>
    </xf>
    <xf numFmtId="0" fontId="1" fillId="13" borderId="32" xfId="0" applyFont="1" applyFill="1" applyBorder="1" applyAlignment="1">
      <alignment horizontal="center" vertical="center"/>
    </xf>
    <xf numFmtId="0" fontId="37" fillId="0" borderId="0" xfId="0" applyFont="1"/>
    <xf numFmtId="0" fontId="2" fillId="13" borderId="13" xfId="0" applyFont="1" applyFill="1" applyBorder="1" applyAlignment="1">
      <alignment vertical="center" wrapText="1"/>
    </xf>
    <xf numFmtId="0" fontId="1" fillId="0" borderId="0" xfId="0" applyFont="1" applyAlignment="1">
      <alignment horizontal="center"/>
    </xf>
    <xf numFmtId="0" fontId="22" fillId="5" borderId="4" xfId="0" applyFont="1" applyFill="1" applyBorder="1"/>
    <xf numFmtId="0" fontId="22" fillId="5" borderId="9" xfId="0" applyFont="1" applyFill="1" applyBorder="1"/>
    <xf numFmtId="182" fontId="2" fillId="13" borderId="10" xfId="0" applyNumberFormat="1" applyFont="1" applyFill="1" applyBorder="1" applyAlignment="1">
      <alignment horizontal="center" vertical="center"/>
    </xf>
    <xf numFmtId="0" fontId="2" fillId="13" borderId="32" xfId="0" applyFont="1" applyFill="1" applyBorder="1" applyAlignment="1">
      <alignment horizontal="center" vertical="center"/>
    </xf>
    <xf numFmtId="0" fontId="6" fillId="13" borderId="1" xfId="0" applyFont="1" applyFill="1" applyBorder="1" applyAlignment="1">
      <alignment horizontal="center" vertical="center" wrapText="1"/>
    </xf>
    <xf numFmtId="0" fontId="6" fillId="13" borderId="1" xfId="0" applyFont="1" applyFill="1" applyBorder="1" applyAlignment="1">
      <alignment horizontal="center" vertical="center"/>
    </xf>
    <xf numFmtId="0" fontId="28" fillId="12" borderId="1" xfId="0" applyFont="1" applyFill="1" applyBorder="1" applyAlignment="1">
      <alignment horizontal="center" vertical="center" wrapText="1"/>
    </xf>
    <xf numFmtId="0" fontId="22" fillId="13" borderId="1" xfId="0" applyFont="1" applyFill="1" applyBorder="1" applyAlignment="1">
      <alignment horizontal="center" vertical="center"/>
    </xf>
    <xf numFmtId="0" fontId="28" fillId="13" borderId="28" xfId="0" applyFont="1" applyFill="1" applyBorder="1" applyAlignment="1">
      <alignment horizontal="center" vertical="center"/>
    </xf>
    <xf numFmtId="0" fontId="28" fillId="13" borderId="1" xfId="0" applyFont="1" applyFill="1" applyBorder="1" applyAlignment="1">
      <alignment horizontal="center" vertical="center"/>
    </xf>
    <xf numFmtId="0" fontId="1" fillId="13" borderId="1" xfId="0" applyFont="1" applyFill="1" applyBorder="1" applyAlignment="1">
      <alignment horizontal="center" vertical="center"/>
    </xf>
    <xf numFmtId="0" fontId="1" fillId="5" borderId="20" xfId="0" applyFont="1" applyFill="1" applyBorder="1"/>
    <xf numFmtId="0" fontId="1" fillId="5" borderId="20" xfId="0" applyFont="1" applyFill="1" applyBorder="1" applyAlignment="1">
      <alignment horizontal="center"/>
    </xf>
    <xf numFmtId="0" fontId="1" fillId="5" borderId="33" xfId="0" applyFont="1" applyFill="1" applyBorder="1"/>
    <xf numFmtId="0" fontId="1" fillId="5" borderId="34" xfId="0" applyFont="1" applyFill="1" applyBorder="1" applyAlignment="1">
      <alignment horizontal="center"/>
    </xf>
    <xf numFmtId="0" fontId="1" fillId="5" borderId="35" xfId="0" applyFont="1" applyFill="1" applyBorder="1"/>
    <xf numFmtId="0" fontId="1" fillId="5" borderId="24" xfId="0" applyFont="1" applyFill="1" applyBorder="1"/>
    <xf numFmtId="0" fontId="1" fillId="5" borderId="36" xfId="0" applyFont="1" applyFill="1" applyBorder="1"/>
    <xf numFmtId="0" fontId="1" fillId="5" borderId="25" xfId="0" applyFont="1" applyFill="1" applyBorder="1"/>
    <xf numFmtId="0" fontId="1" fillId="5" borderId="21" xfId="0" applyFont="1" applyFill="1" applyBorder="1" applyAlignment="1">
      <alignment horizontal="center"/>
    </xf>
    <xf numFmtId="0" fontId="1" fillId="5" borderId="37" xfId="0" applyFont="1" applyFill="1" applyBorder="1"/>
    <xf numFmtId="0" fontId="39" fillId="13" borderId="28" xfId="0" applyFont="1" applyFill="1" applyBorder="1" applyAlignment="1">
      <alignment horizontal="center" vertical="center"/>
    </xf>
    <xf numFmtId="0" fontId="39" fillId="13" borderId="1" xfId="0" applyFont="1" applyFill="1" applyBorder="1" applyAlignment="1">
      <alignment horizontal="center" vertical="center"/>
    </xf>
    <xf numFmtId="0" fontId="1" fillId="5" borderId="0" xfId="0" applyFont="1" applyFill="1" applyBorder="1"/>
    <xf numFmtId="0" fontId="3" fillId="5" borderId="0" xfId="0" applyFont="1" applyFill="1" applyBorder="1" applyAlignment="1">
      <alignment vertical="center"/>
    </xf>
    <xf numFmtId="0" fontId="22" fillId="0" borderId="0" xfId="0" applyFont="1" applyAlignment="1">
      <alignment horizontal="center"/>
    </xf>
    <xf numFmtId="0" fontId="1" fillId="5" borderId="24" xfId="0" applyFont="1" applyFill="1" applyBorder="1" applyAlignment="1">
      <alignment horizontal="left"/>
    </xf>
    <xf numFmtId="0" fontId="1" fillId="5" borderId="25" xfId="0" applyFont="1" applyFill="1" applyBorder="1" applyAlignment="1">
      <alignment horizontal="left"/>
    </xf>
    <xf numFmtId="0" fontId="1" fillId="5" borderId="36" xfId="0" applyFont="1" applyFill="1" applyBorder="1" applyAlignment="1">
      <alignment horizontal="center"/>
    </xf>
    <xf numFmtId="0" fontId="1" fillId="5" borderId="21" xfId="0" applyFont="1" applyFill="1" applyBorder="1"/>
    <xf numFmtId="0" fontId="1" fillId="5" borderId="37" xfId="0" applyFont="1" applyFill="1" applyBorder="1" applyAlignment="1">
      <alignment horizontal="center"/>
    </xf>
    <xf numFmtId="0" fontId="2" fillId="13" borderId="33" xfId="0" applyFont="1" applyFill="1" applyBorder="1"/>
    <xf numFmtId="0" fontId="2" fillId="13" borderId="34" xfId="0" applyFont="1" applyFill="1" applyBorder="1"/>
    <xf numFmtId="0" fontId="2" fillId="13" borderId="35" xfId="0" applyFont="1" applyFill="1" applyBorder="1"/>
    <xf numFmtId="0" fontId="2" fillId="13" borderId="24" xfId="0" applyFont="1" applyFill="1" applyBorder="1"/>
    <xf numFmtId="0" fontId="2" fillId="13" borderId="20" xfId="0" applyFont="1" applyFill="1" applyBorder="1"/>
    <xf numFmtId="0" fontId="2" fillId="13" borderId="36" xfId="0" applyFont="1" applyFill="1" applyBorder="1"/>
    <xf numFmtId="0" fontId="22" fillId="5" borderId="2" xfId="0" applyFont="1" applyFill="1" applyBorder="1"/>
    <xf numFmtId="0" fontId="22" fillId="5" borderId="5" xfId="0" applyFont="1" applyFill="1" applyBorder="1"/>
    <xf numFmtId="0" fontId="22" fillId="5" borderId="7" xfId="0" applyFont="1" applyFill="1" applyBorder="1"/>
    <xf numFmtId="0" fontId="22" fillId="5" borderId="8" xfId="0" applyFont="1" applyFill="1" applyBorder="1" applyAlignment="1">
      <alignment wrapText="1"/>
    </xf>
    <xf numFmtId="0" fontId="40" fillId="5" borderId="0" xfId="0" applyFont="1" applyFill="1" applyBorder="1"/>
    <xf numFmtId="0" fontId="41" fillId="4" borderId="8" xfId="0" applyFont="1" applyFill="1" applyBorder="1" applyAlignment="1">
      <alignment horizontal="center" vertical="center"/>
    </xf>
    <xf numFmtId="0" fontId="24" fillId="5" borderId="0" xfId="0" applyFont="1" applyFill="1" applyBorder="1" applyAlignment="1"/>
    <xf numFmtId="185" fontId="1" fillId="14" borderId="1" xfId="0" applyNumberFormat="1" applyFont="1" applyFill="1" applyBorder="1" applyAlignment="1">
      <alignment horizontal="center" vertical="center" wrapText="1"/>
    </xf>
    <xf numFmtId="0" fontId="22" fillId="0" borderId="4" xfId="0" applyFont="1" applyBorder="1" applyAlignment="1">
      <alignment horizontal="center" vertical="center"/>
    </xf>
    <xf numFmtId="0" fontId="22" fillId="0" borderId="9" xfId="0" applyFont="1" applyBorder="1" applyAlignment="1">
      <alignment horizontal="center" vertical="center"/>
    </xf>
    <xf numFmtId="0" fontId="1" fillId="18" borderId="20" xfId="0" applyFont="1" applyFill="1" applyBorder="1" applyAlignment="1">
      <alignment horizontal="center" vertical="center"/>
    </xf>
    <xf numFmtId="0" fontId="1" fillId="15" borderId="20" xfId="0" applyFont="1" applyFill="1" applyBorder="1" applyAlignment="1">
      <alignment horizontal="center" vertical="center"/>
    </xf>
    <xf numFmtId="0" fontId="1" fillId="0" borderId="2" xfId="0" applyFont="1" applyBorder="1" applyAlignment="1">
      <alignment horizontal="left" wrapText="1"/>
    </xf>
    <xf numFmtId="0" fontId="1" fillId="5" borderId="38" xfId="0" applyFont="1" applyFill="1" applyBorder="1" applyAlignment="1">
      <alignment horizontal="center"/>
    </xf>
    <xf numFmtId="0" fontId="1" fillId="5" borderId="39" xfId="0" applyFont="1" applyFill="1" applyBorder="1" applyAlignment="1">
      <alignment horizontal="center"/>
    </xf>
    <xf numFmtId="0" fontId="1" fillId="5" borderId="40" xfId="0" applyFont="1" applyFill="1" applyBorder="1" applyAlignment="1">
      <alignment horizontal="center"/>
    </xf>
    <xf numFmtId="0" fontId="22" fillId="0" borderId="3" xfId="0" applyFont="1" applyBorder="1" applyAlignment="1">
      <alignment horizontal="center" vertical="center"/>
    </xf>
    <xf numFmtId="0" fontId="22" fillId="0" borderId="8" xfId="0" applyFont="1" applyBorder="1" applyAlignment="1">
      <alignment horizontal="center" vertical="center"/>
    </xf>
    <xf numFmtId="0" fontId="1" fillId="0" borderId="13" xfId="0" applyFont="1" applyBorder="1" applyAlignment="1">
      <alignment horizontal="center" vertical="center" wrapText="1"/>
    </xf>
    <xf numFmtId="0" fontId="1" fillId="0" borderId="10" xfId="0" applyFont="1" applyBorder="1" applyAlignment="1">
      <alignment horizontal="center" vertical="center" wrapText="1"/>
    </xf>
    <xf numFmtId="0" fontId="1" fillId="18" borderId="24" xfId="0" applyFont="1" applyFill="1" applyBorder="1" applyAlignment="1">
      <alignment horizontal="center" vertical="center"/>
    </xf>
    <xf numFmtId="0" fontId="1" fillId="15" borderId="24" xfId="0" applyFont="1" applyFill="1" applyBorder="1" applyAlignment="1">
      <alignment horizontal="center" vertical="center"/>
    </xf>
    <xf numFmtId="0" fontId="1" fillId="15" borderId="25" xfId="0" applyFont="1" applyFill="1" applyBorder="1" applyAlignment="1">
      <alignment horizontal="center" vertical="center"/>
    </xf>
    <xf numFmtId="0" fontId="1" fillId="15" borderId="21" xfId="0" applyFont="1" applyFill="1" applyBorder="1" applyAlignment="1">
      <alignment horizontal="center" vertical="center"/>
    </xf>
    <xf numFmtId="0" fontId="42" fillId="5" borderId="15" xfId="0" applyFont="1" applyFill="1" applyBorder="1" applyAlignment="1">
      <alignment horizontal="center" vertical="center"/>
    </xf>
    <xf numFmtId="0" fontId="42" fillId="5" borderId="18" xfId="0" applyFont="1" applyFill="1" applyBorder="1" applyAlignment="1">
      <alignment horizontal="center" vertical="center"/>
    </xf>
    <xf numFmtId="0" fontId="1" fillId="5" borderId="41" xfId="0" applyFont="1" applyFill="1" applyBorder="1" applyAlignment="1">
      <alignment horizontal="center" vertical="center"/>
    </xf>
    <xf numFmtId="0" fontId="1" fillId="5" borderId="13" xfId="0" applyFont="1" applyFill="1" applyBorder="1" applyAlignment="1">
      <alignment horizontal="center" vertical="center"/>
    </xf>
    <xf numFmtId="0" fontId="42" fillId="5" borderId="19" xfId="0" applyFont="1" applyFill="1" applyBorder="1" applyAlignment="1">
      <alignment horizontal="center" vertical="center"/>
    </xf>
    <xf numFmtId="0" fontId="1" fillId="18" borderId="22" xfId="0" applyFont="1" applyFill="1" applyBorder="1" applyAlignment="1">
      <alignment horizontal="center" vertical="center"/>
    </xf>
    <xf numFmtId="0" fontId="1" fillId="15" borderId="23" xfId="0" applyFont="1" applyFill="1" applyBorder="1" applyAlignment="1">
      <alignment horizontal="center" vertical="center"/>
    </xf>
    <xf numFmtId="0" fontId="1" fillId="5" borderId="11" xfId="0" applyFont="1" applyFill="1" applyBorder="1" applyAlignment="1">
      <alignment horizontal="center" vertical="center"/>
    </xf>
    <xf numFmtId="0" fontId="1" fillId="5" borderId="16" xfId="0" applyFont="1" applyFill="1" applyBorder="1" applyAlignment="1">
      <alignment horizontal="center" vertical="center"/>
    </xf>
    <xf numFmtId="0" fontId="22" fillId="5" borderId="8" xfId="0" applyFont="1" applyFill="1" applyBorder="1" applyAlignment="1">
      <alignment horizontal="center"/>
    </xf>
    <xf numFmtId="182" fontId="21" fillId="14" borderId="1" xfId="0" applyNumberFormat="1" applyFont="1" applyFill="1" applyBorder="1" applyAlignment="1">
      <alignment horizontal="center" vertical="center"/>
    </xf>
    <xf numFmtId="0" fontId="21" fillId="0" borderId="20" xfId="0" applyFont="1" applyBorder="1" applyAlignment="1">
      <alignment horizontal="center" vertical="center" wrapText="1"/>
    </xf>
    <xf numFmtId="0" fontId="6" fillId="0" borderId="41" xfId="0" applyFont="1" applyBorder="1" applyAlignment="1">
      <alignment horizontal="center" textRotation="90" wrapText="1"/>
    </xf>
    <xf numFmtId="0" fontId="6" fillId="0" borderId="42" xfId="0" applyFont="1" applyBorder="1" applyAlignment="1">
      <alignment horizontal="center" textRotation="90" wrapText="1"/>
    </xf>
    <xf numFmtId="0" fontId="6" fillId="0" borderId="43" xfId="0" applyFont="1" applyBorder="1" applyAlignment="1">
      <alignment horizontal="center" textRotation="90" wrapText="1"/>
    </xf>
    <xf numFmtId="0" fontId="21" fillId="0" borderId="33" xfId="0" applyFont="1" applyBorder="1" applyAlignment="1">
      <alignment horizontal="center" vertical="center" wrapText="1"/>
    </xf>
    <xf numFmtId="0" fontId="21" fillId="0" borderId="34" xfId="0" applyFont="1" applyBorder="1" applyAlignment="1">
      <alignment horizontal="center" vertical="center" wrapText="1"/>
    </xf>
    <xf numFmtId="0" fontId="21" fillId="0" borderId="35" xfId="0" applyFont="1" applyBorder="1" applyAlignment="1">
      <alignment horizontal="center" vertical="center" wrapText="1"/>
    </xf>
    <xf numFmtId="0" fontId="21" fillId="0" borderId="24" xfId="0" applyFont="1" applyBorder="1" applyAlignment="1">
      <alignment horizontal="center" vertical="center" wrapText="1"/>
    </xf>
    <xf numFmtId="0" fontId="21" fillId="0" borderId="36" xfId="0" applyFont="1" applyBorder="1" applyAlignment="1">
      <alignment horizontal="center" vertical="center" wrapText="1"/>
    </xf>
    <xf numFmtId="0" fontId="21" fillId="0" borderId="25" xfId="0" applyFont="1" applyBorder="1" applyAlignment="1">
      <alignment horizontal="center" vertical="center" wrapText="1"/>
    </xf>
    <xf numFmtId="0" fontId="21" fillId="0" borderId="21" xfId="0" applyFont="1" applyBorder="1" applyAlignment="1">
      <alignment horizontal="center" vertical="center" wrapText="1"/>
    </xf>
    <xf numFmtId="0" fontId="21" fillId="0" borderId="37" xfId="0" applyFont="1" applyBorder="1" applyAlignment="1">
      <alignment horizontal="center" vertical="center" wrapText="1"/>
    </xf>
    <xf numFmtId="0" fontId="6" fillId="0" borderId="41" xfId="0" applyFont="1" applyBorder="1" applyAlignment="1">
      <alignment horizontal="center" vertical="center"/>
    </xf>
    <xf numFmtId="0" fontId="6" fillId="0" borderId="42" xfId="0" applyFont="1" applyBorder="1" applyAlignment="1">
      <alignment horizontal="center" vertical="center"/>
    </xf>
    <xf numFmtId="184" fontId="21" fillId="0" borderId="20" xfId="0" applyNumberFormat="1" applyFont="1" applyBorder="1" applyAlignment="1">
      <alignment horizontal="center" vertical="center"/>
    </xf>
    <xf numFmtId="184" fontId="21" fillId="0" borderId="44" xfId="0" applyNumberFormat="1" applyFont="1" applyBorder="1" applyAlignment="1">
      <alignment horizontal="center" vertical="center"/>
    </xf>
    <xf numFmtId="184" fontId="21" fillId="0" borderId="21" xfId="0" applyNumberFormat="1" applyFont="1" applyBorder="1" applyAlignment="1">
      <alignment horizontal="center" vertical="center"/>
    </xf>
    <xf numFmtId="184" fontId="21" fillId="0" borderId="18" xfId="0" applyNumberFormat="1" applyFont="1" applyBorder="1" applyAlignment="1">
      <alignment horizontal="center" vertical="center"/>
    </xf>
    <xf numFmtId="0" fontId="6" fillId="0" borderId="45" xfId="0" applyFont="1" applyBorder="1" applyAlignment="1">
      <alignment horizontal="center" vertical="center"/>
    </xf>
    <xf numFmtId="184" fontId="21" fillId="0" borderId="19" xfId="0" applyNumberFormat="1" applyFont="1" applyBorder="1" applyAlignment="1">
      <alignment horizontal="center" vertical="center"/>
    </xf>
    <xf numFmtId="184" fontId="21" fillId="0" borderId="22" xfId="0" applyNumberFormat="1" applyFont="1" applyBorder="1" applyAlignment="1">
      <alignment horizontal="center" vertical="center"/>
    </xf>
    <xf numFmtId="184" fontId="21" fillId="0" borderId="23" xfId="0" applyNumberFormat="1" applyFont="1" applyBorder="1" applyAlignment="1">
      <alignment horizontal="center" vertical="center"/>
    </xf>
    <xf numFmtId="0" fontId="6" fillId="12" borderId="1" xfId="0" applyFont="1" applyFill="1" applyBorder="1" applyAlignment="1">
      <alignment horizontal="center" vertical="center" textRotation="90" wrapText="1"/>
    </xf>
    <xf numFmtId="184" fontId="21" fillId="0" borderId="46" xfId="0" applyNumberFormat="1" applyFont="1" applyBorder="1" applyAlignment="1">
      <alignment horizontal="center" vertical="center"/>
    </xf>
    <xf numFmtId="184" fontId="21" fillId="0" borderId="47" xfId="0" applyNumberFormat="1" applyFont="1" applyBorder="1" applyAlignment="1">
      <alignment horizontal="center" vertical="center"/>
    </xf>
    <xf numFmtId="0" fontId="6" fillId="0" borderId="48" xfId="0" applyFont="1" applyBorder="1" applyAlignment="1">
      <alignment horizontal="center" textRotation="90" wrapText="1"/>
    </xf>
    <xf numFmtId="0" fontId="6" fillId="0" borderId="49" xfId="0" applyFont="1" applyBorder="1" applyAlignment="1">
      <alignment horizontal="center" textRotation="90" wrapText="1"/>
    </xf>
    <xf numFmtId="0" fontId="6" fillId="0" borderId="50" xfId="0" applyFont="1" applyBorder="1" applyAlignment="1">
      <alignment horizontal="center" textRotation="90" wrapText="1"/>
    </xf>
    <xf numFmtId="0" fontId="21" fillId="0" borderId="20" xfId="0" applyFont="1" applyBorder="1" applyAlignment="1">
      <alignment horizontal="center" vertical="center"/>
    </xf>
    <xf numFmtId="2" fontId="21" fillId="0" borderId="20" xfId="0" applyNumberFormat="1" applyFont="1" applyBorder="1" applyAlignment="1">
      <alignment horizontal="center" vertical="center"/>
    </xf>
    <xf numFmtId="0" fontId="21" fillId="0" borderId="33" xfId="0" applyFont="1" applyBorder="1" applyAlignment="1">
      <alignment horizontal="center" vertical="center"/>
    </xf>
    <xf numFmtId="0" fontId="21" fillId="0" borderId="34" xfId="0" applyFont="1" applyBorder="1" applyAlignment="1">
      <alignment horizontal="center" vertical="center"/>
    </xf>
    <xf numFmtId="2" fontId="21" fillId="0" borderId="34" xfId="0" applyNumberFormat="1" applyFont="1" applyBorder="1" applyAlignment="1">
      <alignment horizontal="center" vertical="center"/>
    </xf>
    <xf numFmtId="0" fontId="21" fillId="0" borderId="35" xfId="0" applyFont="1" applyBorder="1" applyAlignment="1">
      <alignment horizontal="center" vertical="center"/>
    </xf>
    <xf numFmtId="0" fontId="21" fillId="0" borderId="24" xfId="0" applyFont="1" applyBorder="1" applyAlignment="1">
      <alignment horizontal="center" vertical="center"/>
    </xf>
    <xf numFmtId="0" fontId="21" fillId="0" borderId="36" xfId="0" applyFont="1" applyBorder="1" applyAlignment="1">
      <alignment horizontal="center" vertical="center"/>
    </xf>
    <xf numFmtId="0" fontId="21" fillId="0" borderId="25" xfId="0" applyFont="1" applyBorder="1" applyAlignment="1">
      <alignment horizontal="center" vertical="center"/>
    </xf>
    <xf numFmtId="0" fontId="21" fillId="0" borderId="21" xfId="0" applyFont="1" applyBorder="1" applyAlignment="1">
      <alignment horizontal="center" vertical="center"/>
    </xf>
    <xf numFmtId="2" fontId="21" fillId="0" borderId="21" xfId="0" applyNumberFormat="1" applyFont="1" applyBorder="1" applyAlignment="1">
      <alignment horizontal="center" vertical="center"/>
    </xf>
    <xf numFmtId="0" fontId="21" fillId="0" borderId="37" xfId="0" applyFont="1" applyBorder="1" applyAlignment="1">
      <alignment horizontal="center" vertical="center"/>
    </xf>
    <xf numFmtId="0" fontId="22" fillId="0" borderId="38" xfId="0" applyFont="1" applyBorder="1" applyAlignment="1">
      <alignment horizontal="left" vertical="center"/>
    </xf>
    <xf numFmtId="0" fontId="22" fillId="0" borderId="51" xfId="0" applyFont="1" applyBorder="1"/>
    <xf numFmtId="0" fontId="22" fillId="0" borderId="39" xfId="0" applyFont="1" applyBorder="1" applyAlignment="1">
      <alignment horizontal="left" vertical="center"/>
    </xf>
    <xf numFmtId="0" fontId="22" fillId="0" borderId="52" xfId="0" applyFont="1" applyBorder="1"/>
    <xf numFmtId="0" fontId="0" fillId="0" borderId="52" xfId="0" applyBorder="1"/>
    <xf numFmtId="0" fontId="22" fillId="0" borderId="40" xfId="0" applyFont="1" applyBorder="1" applyAlignment="1">
      <alignment horizontal="left" vertical="center"/>
    </xf>
    <xf numFmtId="0" fontId="22" fillId="0" borderId="53" xfId="0" applyFont="1" applyBorder="1"/>
    <xf numFmtId="184" fontId="22" fillId="0" borderId="54" xfId="0" applyNumberFormat="1" applyFont="1" applyBorder="1"/>
    <xf numFmtId="184" fontId="22" fillId="0" borderId="55" xfId="0" applyNumberFormat="1" applyFont="1" applyBorder="1"/>
    <xf numFmtId="184" fontId="0" fillId="0" borderId="55" xfId="0" applyNumberFormat="1" applyBorder="1"/>
    <xf numFmtId="184" fontId="22" fillId="0" borderId="56" xfId="0" applyNumberFormat="1" applyFont="1" applyBorder="1"/>
    <xf numFmtId="0" fontId="1" fillId="0" borderId="0" xfId="0" applyFont="1" applyFill="1" applyBorder="1"/>
    <xf numFmtId="0" fontId="1" fillId="0" borderId="0" xfId="0" applyFont="1" applyFill="1" applyBorder="1" applyAlignment="1">
      <alignment horizontal="left"/>
    </xf>
    <xf numFmtId="0" fontId="1" fillId="0" borderId="5" xfId="0" applyFont="1" applyFill="1" applyBorder="1" applyAlignment="1">
      <alignment horizontal="center" vertical="center"/>
    </xf>
    <xf numFmtId="0" fontId="1" fillId="0" borderId="5" xfId="0" applyFont="1" applyFill="1" applyBorder="1" applyAlignment="1">
      <alignment horizontal="left" vertical="center"/>
    </xf>
    <xf numFmtId="0" fontId="1" fillId="0" borderId="7" xfId="0" applyFont="1" applyFill="1" applyBorder="1" applyAlignment="1">
      <alignment horizontal="left" vertical="center"/>
    </xf>
    <xf numFmtId="0" fontId="1" fillId="0" borderId="3" xfId="0" applyFont="1" applyFill="1" applyBorder="1"/>
    <xf numFmtId="0" fontId="1" fillId="0" borderId="8" xfId="0" applyFont="1" applyFill="1" applyBorder="1" applyAlignment="1">
      <alignment horizontal="left" vertical="center"/>
    </xf>
    <xf numFmtId="0" fontId="1" fillId="0" borderId="4" xfId="0" applyFont="1" applyFill="1" applyBorder="1"/>
    <xf numFmtId="0" fontId="1" fillId="0" borderId="6" xfId="0" applyFont="1" applyFill="1" applyBorder="1"/>
    <xf numFmtId="0" fontId="1" fillId="0" borderId="6" xfId="0" applyFont="1" applyFill="1" applyBorder="1" applyAlignment="1">
      <alignment horizontal="left"/>
    </xf>
    <xf numFmtId="0" fontId="1" fillId="0" borderId="9" xfId="0" applyFont="1" applyFill="1" applyBorder="1" applyAlignment="1">
      <alignment horizontal="left" vertical="center"/>
    </xf>
    <xf numFmtId="0" fontId="25" fillId="0" borderId="2" xfId="0" applyFont="1" applyFill="1" applyBorder="1" applyAlignment="1">
      <alignment horizontal="left" vertical="center"/>
    </xf>
    <xf numFmtId="0" fontId="22" fillId="5" borderId="13" xfId="0" applyFont="1" applyFill="1" applyBorder="1"/>
    <xf numFmtId="0" fontId="22" fillId="5" borderId="14" xfId="0" applyFont="1" applyFill="1" applyBorder="1"/>
    <xf numFmtId="0" fontId="6" fillId="13" borderId="1" xfId="0" applyFont="1" applyFill="1" applyBorder="1" applyAlignment="1">
      <alignment horizontal="center" vertical="center" textRotation="90" wrapText="1"/>
    </xf>
    <xf numFmtId="0" fontId="6" fillId="13" borderId="1" xfId="0" applyFont="1" applyFill="1" applyBorder="1" applyAlignment="1">
      <alignment horizontal="center" textRotation="90" wrapText="1"/>
    </xf>
    <xf numFmtId="0" fontId="22" fillId="5" borderId="10" xfId="0" applyFont="1" applyFill="1" applyBorder="1" applyAlignment="1">
      <alignment horizontal="right" vertical="center"/>
    </xf>
    <xf numFmtId="0" fontId="40" fillId="5" borderId="0" xfId="0" applyFont="1" applyFill="1" applyBorder="1" applyAlignment="1">
      <alignment vertical="top"/>
    </xf>
    <xf numFmtId="0" fontId="22" fillId="5" borderId="0" xfId="0" applyFont="1" applyFill="1" applyBorder="1" applyAlignment="1">
      <alignment wrapText="1"/>
    </xf>
    <xf numFmtId="0" fontId="40" fillId="5" borderId="13" xfId="0" applyFont="1" applyFill="1" applyBorder="1" applyAlignment="1">
      <alignment vertical="top"/>
    </xf>
    <xf numFmtId="0" fontId="1" fillId="5" borderId="35" xfId="0" applyFont="1" applyFill="1" applyBorder="1" applyAlignment="1">
      <alignment horizontal="center"/>
    </xf>
    <xf numFmtId="0" fontId="2" fillId="14" borderId="1" xfId="0" applyFont="1" applyFill="1" applyBorder="1" applyAlignment="1">
      <alignment horizontal="center" vertical="center" wrapText="1"/>
    </xf>
    <xf numFmtId="0" fontId="43" fillId="4" borderId="0" xfId="0" applyFont="1" applyFill="1" applyBorder="1" applyAlignment="1">
      <alignment vertical="center"/>
    </xf>
    <xf numFmtId="0" fontId="1" fillId="5" borderId="42" xfId="0" applyFont="1" applyFill="1" applyBorder="1" applyAlignment="1">
      <alignment horizontal="center"/>
    </xf>
    <xf numFmtId="0" fontId="1" fillId="5" borderId="43" xfId="0" applyFont="1" applyFill="1" applyBorder="1" applyAlignment="1">
      <alignment horizontal="center"/>
    </xf>
    <xf numFmtId="182" fontId="1" fillId="13" borderId="1" xfId="0" applyNumberFormat="1" applyFont="1" applyFill="1" applyBorder="1" applyAlignment="1">
      <alignment horizontal="center" vertical="center"/>
    </xf>
    <xf numFmtId="0" fontId="1" fillId="13" borderId="28" xfId="0" applyFont="1" applyFill="1" applyBorder="1" applyAlignment="1">
      <alignment horizontal="center" vertical="center"/>
    </xf>
    <xf numFmtId="0" fontId="36" fillId="5" borderId="0" xfId="0" applyFont="1" applyFill="1" applyBorder="1" applyAlignment="1">
      <alignment horizontal="center" vertical="center"/>
    </xf>
    <xf numFmtId="0" fontId="1" fillId="13" borderId="32" xfId="0" applyFont="1" applyFill="1" applyBorder="1" applyAlignment="1">
      <alignment horizontal="left" vertical="center"/>
    </xf>
    <xf numFmtId="0" fontId="6" fillId="13" borderId="13" xfId="0" applyFont="1" applyFill="1" applyBorder="1" applyAlignment="1">
      <alignment vertical="center" wrapText="1"/>
    </xf>
    <xf numFmtId="0" fontId="36" fillId="5" borderId="4" xfId="0" applyFont="1" applyFill="1" applyBorder="1" applyAlignment="1">
      <alignment horizontal="center" vertical="center"/>
    </xf>
    <xf numFmtId="0" fontId="6" fillId="13" borderId="1" xfId="0" applyFont="1" applyFill="1" applyBorder="1" applyAlignment="1">
      <alignment vertical="center" wrapText="1"/>
    </xf>
    <xf numFmtId="0" fontId="40" fillId="14" borderId="1" xfId="0" applyFont="1" applyFill="1" applyBorder="1" applyAlignment="1">
      <alignment horizontal="center" vertical="center"/>
    </xf>
    <xf numFmtId="0" fontId="2" fillId="14" borderId="1" xfId="0" applyFont="1" applyFill="1" applyBorder="1" applyAlignment="1">
      <alignment horizontal="center" vertical="center"/>
    </xf>
    <xf numFmtId="0" fontId="22" fillId="5" borderId="0" xfId="0" quotePrefix="1" applyFont="1" applyFill="1" applyBorder="1" applyAlignment="1">
      <alignment vertical="center"/>
    </xf>
    <xf numFmtId="0" fontId="22" fillId="5" borderId="0" xfId="0" applyFont="1" applyFill="1" applyBorder="1" applyAlignment="1">
      <alignment horizontal="left"/>
    </xf>
    <xf numFmtId="0" fontId="3" fillId="4" borderId="0" xfId="0" applyFont="1" applyFill="1" applyBorder="1" applyAlignment="1">
      <alignment vertical="center"/>
    </xf>
    <xf numFmtId="9" fontId="6" fillId="14" borderId="1" xfId="1" applyFont="1" applyFill="1" applyBorder="1" applyAlignment="1">
      <alignment horizontal="center" vertical="center"/>
    </xf>
    <xf numFmtId="0" fontId="1" fillId="0" borderId="0" xfId="0" applyFont="1" applyProtection="1"/>
    <xf numFmtId="0" fontId="2" fillId="0" borderId="0" xfId="0" applyFont="1" applyAlignment="1" applyProtection="1">
      <alignment horizontal="center" vertical="center"/>
    </xf>
    <xf numFmtId="0" fontId="1" fillId="5" borderId="2" xfId="0" applyFont="1" applyFill="1" applyBorder="1" applyProtection="1"/>
    <xf numFmtId="0" fontId="1" fillId="5" borderId="7" xfId="0" applyFont="1" applyFill="1" applyBorder="1" applyProtection="1"/>
    <xf numFmtId="0" fontId="1" fillId="5" borderId="33" xfId="0" applyFont="1" applyFill="1" applyBorder="1" applyProtection="1"/>
    <xf numFmtId="0" fontId="1" fillId="5" borderId="24" xfId="0" applyFont="1" applyFill="1" applyBorder="1" applyProtection="1"/>
    <xf numFmtId="0" fontId="6" fillId="0" borderId="0" xfId="0" applyFont="1" applyAlignment="1" applyProtection="1">
      <alignment vertical="center"/>
    </xf>
    <xf numFmtId="0" fontId="22" fillId="0" borderId="0" xfId="0" applyFont="1" applyProtection="1"/>
    <xf numFmtId="0" fontId="1" fillId="5" borderId="25" xfId="0" applyFont="1" applyFill="1" applyBorder="1" applyProtection="1"/>
    <xf numFmtId="0" fontId="3" fillId="5" borderId="5" xfId="0" applyFont="1" applyFill="1" applyBorder="1" applyAlignment="1">
      <alignment horizontal="left" vertical="center"/>
    </xf>
    <xf numFmtId="0" fontId="6" fillId="5" borderId="3" xfId="0" applyFont="1" applyFill="1" applyBorder="1"/>
    <xf numFmtId="0" fontId="2" fillId="5" borderId="8" xfId="0" applyFont="1" applyFill="1" applyBorder="1" applyAlignment="1">
      <alignment horizontal="center" vertical="center"/>
    </xf>
    <xf numFmtId="0" fontId="6" fillId="13" borderId="2" xfId="0" applyFont="1" applyFill="1" applyBorder="1" applyAlignment="1">
      <alignment vertical="center" wrapText="1"/>
    </xf>
    <xf numFmtId="0" fontId="1" fillId="13" borderId="1" xfId="0" applyFont="1" applyFill="1" applyBorder="1" applyAlignment="1">
      <alignment horizontal="left" vertical="center"/>
    </xf>
    <xf numFmtId="0" fontId="40" fillId="13" borderId="13" xfId="0" applyFont="1" applyFill="1" applyBorder="1"/>
    <xf numFmtId="0" fontId="22" fillId="13" borderId="14" xfId="0" applyFont="1" applyFill="1" applyBorder="1"/>
    <xf numFmtId="0" fontId="22" fillId="13" borderId="10" xfId="0" applyFont="1" applyFill="1" applyBorder="1"/>
    <xf numFmtId="0" fontId="22" fillId="5" borderId="9" xfId="0" applyFont="1" applyFill="1" applyBorder="1" applyAlignment="1">
      <alignment horizontal="center"/>
    </xf>
    <xf numFmtId="0" fontId="22" fillId="13" borderId="2" xfId="0" applyFont="1" applyFill="1" applyBorder="1" applyAlignment="1">
      <alignment horizontal="center"/>
    </xf>
    <xf numFmtId="0" fontId="22" fillId="13" borderId="5" xfId="0" applyFont="1" applyFill="1" applyBorder="1" applyAlignment="1">
      <alignment horizontal="center"/>
    </xf>
    <xf numFmtId="0" fontId="22" fillId="13" borderId="7" xfId="0" applyFont="1" applyFill="1" applyBorder="1" applyAlignment="1">
      <alignment horizontal="center"/>
    </xf>
    <xf numFmtId="0" fontId="22" fillId="5" borderId="20" xfId="0" applyFont="1" applyFill="1" applyBorder="1" applyAlignment="1">
      <alignment horizontal="center"/>
    </xf>
    <xf numFmtId="0" fontId="21" fillId="5" borderId="33" xfId="0" applyFont="1" applyFill="1" applyBorder="1" applyAlignment="1">
      <alignment horizontal="left" vertical="center"/>
    </xf>
    <xf numFmtId="0" fontId="22" fillId="5" borderId="34" xfId="0" applyFont="1" applyFill="1" applyBorder="1" applyAlignment="1">
      <alignment horizontal="center"/>
    </xf>
    <xf numFmtId="0" fontId="44" fillId="5" borderId="24" xfId="0" applyFont="1" applyFill="1" applyBorder="1" applyAlignment="1">
      <alignment horizontal="left" vertical="center"/>
    </xf>
    <xf numFmtId="0" fontId="44" fillId="5" borderId="25" xfId="0" applyFont="1" applyFill="1" applyBorder="1" applyAlignment="1">
      <alignment horizontal="left" vertical="center"/>
    </xf>
    <xf numFmtId="0" fontId="22" fillId="5" borderId="21" xfId="0" applyFont="1" applyFill="1" applyBorder="1" applyAlignment="1">
      <alignment horizontal="center"/>
    </xf>
    <xf numFmtId="0" fontId="22" fillId="13" borderId="2" xfId="0" applyFont="1" applyFill="1" applyBorder="1"/>
    <xf numFmtId="0" fontId="22" fillId="13" borderId="5" xfId="0" applyFont="1" applyFill="1" applyBorder="1"/>
    <xf numFmtId="0" fontId="22" fillId="13" borderId="7" xfId="0" applyFont="1" applyFill="1" applyBorder="1"/>
    <xf numFmtId="0" fontId="22" fillId="5" borderId="33" xfId="0" applyFont="1" applyFill="1" applyBorder="1"/>
    <xf numFmtId="0" fontId="22" fillId="5" borderId="24" xfId="0" applyFont="1" applyFill="1" applyBorder="1"/>
    <xf numFmtId="0" fontId="22" fillId="5" borderId="25" xfId="0" applyFont="1" applyFill="1" applyBorder="1"/>
    <xf numFmtId="0" fontId="40" fillId="13" borderId="1" xfId="0" applyFont="1" applyFill="1" applyBorder="1"/>
    <xf numFmtId="0" fontId="22" fillId="5" borderId="27" xfId="0" applyFont="1" applyFill="1" applyBorder="1"/>
    <xf numFmtId="0" fontId="22" fillId="5" borderId="26" xfId="0" applyFont="1" applyFill="1" applyBorder="1"/>
    <xf numFmtId="0" fontId="45" fillId="5" borderId="34" xfId="0" applyFont="1" applyFill="1" applyBorder="1" applyAlignment="1">
      <alignment horizontal="center" vertical="center"/>
    </xf>
    <xf numFmtId="0" fontId="45" fillId="5" borderId="35" xfId="0" applyFont="1" applyFill="1" applyBorder="1" applyAlignment="1">
      <alignment horizontal="center" vertical="center"/>
    </xf>
    <xf numFmtId="0" fontId="45" fillId="5" borderId="20" xfId="0" applyFont="1" applyFill="1" applyBorder="1" applyAlignment="1">
      <alignment horizontal="center" vertical="center"/>
    </xf>
    <xf numFmtId="0" fontId="45" fillId="5" borderId="36" xfId="0" applyFont="1" applyFill="1" applyBorder="1" applyAlignment="1">
      <alignment horizontal="center" vertical="center"/>
    </xf>
    <xf numFmtId="0" fontId="45" fillId="5" borderId="21" xfId="0" applyFont="1" applyFill="1" applyBorder="1" applyAlignment="1">
      <alignment horizontal="center" vertical="center"/>
    </xf>
    <xf numFmtId="0" fontId="45" fillId="5" borderId="37" xfId="0" applyFont="1" applyFill="1" applyBorder="1" applyAlignment="1">
      <alignment horizontal="center" vertical="center"/>
    </xf>
    <xf numFmtId="0" fontId="40" fillId="5" borderId="35" xfId="0" applyFont="1" applyFill="1" applyBorder="1" applyAlignment="1">
      <alignment horizontal="center"/>
    </xf>
    <xf numFmtId="0" fontId="40" fillId="5" borderId="36" xfId="0" applyFont="1" applyFill="1" applyBorder="1" applyAlignment="1">
      <alignment horizontal="center"/>
    </xf>
    <xf numFmtId="0" fontId="40" fillId="5" borderId="37" xfId="0" applyFont="1" applyFill="1" applyBorder="1" applyAlignment="1">
      <alignment horizontal="center"/>
    </xf>
    <xf numFmtId="0" fontId="41" fillId="5" borderId="3" xfId="0" applyFont="1" applyFill="1" applyBorder="1" applyAlignment="1">
      <alignment horizontal="center" vertical="center"/>
    </xf>
    <xf numFmtId="0" fontId="46" fillId="5" borderId="3" xfId="0" applyFont="1" applyFill="1" applyBorder="1"/>
    <xf numFmtId="0" fontId="7" fillId="5" borderId="0" xfId="0" applyFont="1" applyFill="1" applyBorder="1"/>
    <xf numFmtId="0" fontId="41" fillId="5" borderId="0" xfId="0" applyFont="1" applyFill="1" applyBorder="1"/>
    <xf numFmtId="0" fontId="36" fillId="5" borderId="3" xfId="0" applyFont="1" applyFill="1" applyBorder="1"/>
    <xf numFmtId="0" fontId="41" fillId="5" borderId="3" xfId="0" applyFont="1" applyFill="1" applyBorder="1"/>
    <xf numFmtId="0" fontId="36" fillId="5" borderId="0" xfId="0" applyFont="1" applyFill="1" applyBorder="1"/>
    <xf numFmtId="1" fontId="2" fillId="13" borderId="1" xfId="0" applyNumberFormat="1" applyFont="1" applyFill="1" applyBorder="1" applyAlignment="1">
      <alignment horizontal="center" vertical="center"/>
    </xf>
    <xf numFmtId="1" fontId="22" fillId="13" borderId="1" xfId="0" applyNumberFormat="1" applyFont="1" applyFill="1" applyBorder="1" applyAlignment="1">
      <alignment horizontal="center" vertical="center"/>
    </xf>
    <xf numFmtId="0" fontId="22" fillId="5" borderId="3" xfId="0" applyFont="1" applyFill="1" applyBorder="1" applyAlignment="1">
      <alignment horizontal="center"/>
    </xf>
    <xf numFmtId="0" fontId="22" fillId="5" borderId="4" xfId="0" applyFont="1" applyFill="1" applyBorder="1" applyAlignment="1">
      <alignment horizontal="center"/>
    </xf>
    <xf numFmtId="0" fontId="40" fillId="13" borderId="10" xfId="0" applyFont="1" applyFill="1" applyBorder="1"/>
    <xf numFmtId="1" fontId="22" fillId="0" borderId="0" xfId="0" applyNumberFormat="1" applyFont="1"/>
    <xf numFmtId="0" fontId="22" fillId="0" borderId="0" xfId="0" quotePrefix="1" applyFont="1"/>
    <xf numFmtId="0" fontId="36" fillId="5" borderId="8" xfId="0" applyFont="1" applyFill="1" applyBorder="1" applyAlignment="1">
      <alignment horizontal="center"/>
    </xf>
    <xf numFmtId="0" fontId="2" fillId="5" borderId="8" xfId="0" applyFont="1" applyFill="1" applyBorder="1"/>
    <xf numFmtId="0" fontId="2" fillId="5" borderId="3" xfId="0" applyFont="1" applyFill="1" applyBorder="1" applyAlignment="1">
      <alignment horizontal="center" vertical="center"/>
    </xf>
    <xf numFmtId="0" fontId="1" fillId="5" borderId="8" xfId="0" applyFont="1" applyFill="1" applyBorder="1" applyAlignment="1">
      <alignment vertical="center"/>
    </xf>
    <xf numFmtId="0" fontId="1" fillId="13" borderId="32" xfId="0" applyFont="1" applyFill="1" applyBorder="1" applyAlignment="1">
      <alignment vertical="center"/>
    </xf>
    <xf numFmtId="0" fontId="21" fillId="5" borderId="5" xfId="0" applyFont="1" applyFill="1" applyBorder="1"/>
    <xf numFmtId="0" fontId="21" fillId="5" borderId="0" xfId="0" applyFont="1" applyFill="1" applyBorder="1"/>
    <xf numFmtId="0" fontId="21" fillId="5" borderId="6" xfId="0" applyFont="1" applyFill="1" applyBorder="1"/>
    <xf numFmtId="0" fontId="1" fillId="13" borderId="28" xfId="0" applyFont="1" applyFill="1" applyBorder="1" applyAlignment="1">
      <alignment vertical="center"/>
    </xf>
    <xf numFmtId="1" fontId="6" fillId="13" borderId="1" xfId="0" applyNumberFormat="1" applyFont="1" applyFill="1" applyBorder="1" applyAlignment="1">
      <alignment horizontal="center" vertical="center"/>
    </xf>
    <xf numFmtId="1" fontId="6" fillId="13" borderId="1" xfId="0" applyNumberFormat="1" applyFont="1" applyFill="1" applyBorder="1" applyAlignment="1">
      <alignment horizontal="center" vertical="center" wrapText="1"/>
    </xf>
    <xf numFmtId="0" fontId="28" fillId="0" borderId="0" xfId="0" applyFont="1"/>
    <xf numFmtId="0" fontId="4" fillId="13" borderId="10" xfId="0" applyFont="1" applyFill="1" applyBorder="1" applyAlignment="1">
      <alignment horizontal="left" vertical="center"/>
    </xf>
    <xf numFmtId="0" fontId="6" fillId="5" borderId="0" xfId="0" applyFont="1" applyFill="1" applyBorder="1" applyAlignment="1">
      <alignment horizontal="center" vertical="center" wrapText="1"/>
    </xf>
    <xf numFmtId="1" fontId="6" fillId="5" borderId="0" xfId="0" applyNumberFormat="1" applyFont="1" applyFill="1" applyBorder="1" applyAlignment="1">
      <alignment horizontal="center" vertical="center"/>
    </xf>
    <xf numFmtId="1" fontId="6" fillId="5" borderId="0" xfId="0" applyNumberFormat="1" applyFont="1" applyFill="1" applyBorder="1" applyAlignment="1">
      <alignment horizontal="center" vertical="center" wrapText="1"/>
    </xf>
    <xf numFmtId="0" fontId="1" fillId="0" borderId="0" xfId="0" applyFont="1" applyFill="1"/>
    <xf numFmtId="0" fontId="2" fillId="0" borderId="0" xfId="0" applyFont="1" applyFill="1"/>
    <xf numFmtId="0" fontId="2" fillId="0" borderId="0" xfId="0" applyFont="1" applyFill="1" applyAlignment="1">
      <alignment horizontal="center" vertical="center"/>
    </xf>
    <xf numFmtId="0" fontId="1" fillId="0" borderId="0" xfId="0" applyFont="1" applyFill="1" applyAlignment="1">
      <alignment vertical="center"/>
    </xf>
    <xf numFmtId="0" fontId="1" fillId="0" borderId="0" xfId="4" applyFont="1" applyAlignment="1">
      <alignment vertical="center"/>
    </xf>
    <xf numFmtId="0" fontId="2" fillId="0" borderId="0" xfId="4" applyFont="1" applyAlignment="1">
      <alignment vertical="center"/>
    </xf>
    <xf numFmtId="0" fontId="2" fillId="0" borderId="0" xfId="4" applyFont="1" applyAlignment="1">
      <alignment horizontal="center" vertical="center"/>
    </xf>
    <xf numFmtId="0" fontId="3" fillId="0" borderId="0" xfId="4" applyFont="1" applyAlignment="1">
      <alignment horizontal="left" vertical="center"/>
    </xf>
    <xf numFmtId="0" fontId="12" fillId="5" borderId="2" xfId="3" applyFont="1" applyFill="1" applyBorder="1" applyAlignment="1">
      <alignment vertical="center"/>
    </xf>
    <xf numFmtId="0" fontId="12" fillId="5" borderId="5" xfId="3" applyFont="1" applyFill="1" applyBorder="1" applyAlignment="1">
      <alignment vertical="center"/>
    </xf>
    <xf numFmtId="0" fontId="12" fillId="5" borderId="7" xfId="3" applyFont="1" applyFill="1" applyBorder="1" applyAlignment="1">
      <alignment vertical="center"/>
    </xf>
    <xf numFmtId="0" fontId="12" fillId="0" borderId="0" xfId="3" applyFont="1" applyAlignment="1">
      <alignment vertical="center"/>
    </xf>
    <xf numFmtId="0" fontId="12" fillId="5" borderId="3" xfId="3" applyFont="1" applyFill="1" applyBorder="1" applyAlignment="1">
      <alignment vertical="center"/>
    </xf>
    <xf numFmtId="0" fontId="6" fillId="5" borderId="8" xfId="3" applyFont="1" applyFill="1" applyBorder="1" applyAlignment="1">
      <alignment horizontal="center" vertical="center" wrapText="1"/>
    </xf>
    <xf numFmtId="0" fontId="6" fillId="5" borderId="32" xfId="3" applyFont="1" applyFill="1" applyBorder="1" applyAlignment="1">
      <alignment vertical="center"/>
    </xf>
    <xf numFmtId="0" fontId="12" fillId="5" borderId="4" xfId="3" applyFont="1" applyFill="1" applyBorder="1" applyAlignment="1">
      <alignment vertical="center"/>
    </xf>
    <xf numFmtId="0" fontId="6" fillId="5" borderId="6" xfId="3" applyFont="1" applyFill="1" applyBorder="1" applyAlignment="1">
      <alignment vertical="center"/>
    </xf>
    <xf numFmtId="0" fontId="12" fillId="5" borderId="6" xfId="3" applyFont="1" applyFill="1" applyBorder="1" applyAlignment="1">
      <alignment vertical="center"/>
    </xf>
    <xf numFmtId="2" fontId="17" fillId="5" borderId="6" xfId="3" applyNumberFormat="1" applyFont="1" applyFill="1" applyBorder="1" applyAlignment="1">
      <alignment horizontal="center" vertical="center"/>
    </xf>
    <xf numFmtId="2" fontId="6" fillId="5" borderId="9" xfId="3" applyNumberFormat="1" applyFont="1" applyFill="1" applyBorder="1" applyAlignment="1">
      <alignment horizontal="center" vertical="center"/>
    </xf>
    <xf numFmtId="9" fontId="12" fillId="0" borderId="0" xfId="2" applyFont="1" applyAlignment="1">
      <alignment horizontal="center" vertical="center"/>
    </xf>
    <xf numFmtId="0" fontId="12" fillId="0" borderId="0" xfId="3" applyFont="1"/>
    <xf numFmtId="0" fontId="1" fillId="0" borderId="0" xfId="3" applyFont="1"/>
    <xf numFmtId="0" fontId="1" fillId="5" borderId="2" xfId="4" applyFont="1" applyFill="1" applyBorder="1" applyAlignment="1">
      <alignment vertical="center"/>
    </xf>
    <xf numFmtId="0" fontId="1" fillId="5" borderId="5" xfId="4" applyFont="1" applyFill="1" applyBorder="1" applyAlignment="1">
      <alignment vertical="center"/>
    </xf>
    <xf numFmtId="0" fontId="2" fillId="5" borderId="5" xfId="4" applyFont="1" applyFill="1" applyBorder="1" applyAlignment="1">
      <alignment vertical="center"/>
    </xf>
    <xf numFmtId="0" fontId="2" fillId="5" borderId="7" xfId="4" applyFont="1" applyFill="1" applyBorder="1" applyAlignment="1">
      <alignment horizontal="center" vertical="center"/>
    </xf>
    <xf numFmtId="0" fontId="1" fillId="5" borderId="3" xfId="4" applyFont="1" applyFill="1" applyBorder="1" applyAlignment="1">
      <alignment vertical="center"/>
    </xf>
    <xf numFmtId="0" fontId="16" fillId="5" borderId="0" xfId="4" applyFont="1" applyFill="1" applyAlignment="1">
      <alignment vertical="center"/>
    </xf>
    <xf numFmtId="0" fontId="3" fillId="5" borderId="8" xfId="4" applyFont="1" applyFill="1" applyBorder="1" applyAlignment="1">
      <alignment vertical="center"/>
    </xf>
    <xf numFmtId="0" fontId="1" fillId="5" borderId="4" xfId="4" applyFont="1" applyFill="1" applyBorder="1" applyAlignment="1">
      <alignment vertical="center"/>
    </xf>
    <xf numFmtId="0" fontId="1" fillId="5" borderId="6" xfId="4" applyFont="1" applyFill="1" applyBorder="1" applyAlignment="1">
      <alignment vertical="center"/>
    </xf>
    <xf numFmtId="0" fontId="3" fillId="5" borderId="6" xfId="4" applyFont="1" applyFill="1" applyBorder="1" applyAlignment="1">
      <alignment horizontal="left" vertical="center"/>
    </xf>
    <xf numFmtId="0" fontId="3" fillId="5" borderId="9" xfId="4" applyFont="1" applyFill="1" applyBorder="1" applyAlignment="1">
      <alignment horizontal="left" vertical="center"/>
    </xf>
    <xf numFmtId="0" fontId="6" fillId="5" borderId="1" xfId="3" applyFont="1" applyFill="1" applyBorder="1" applyAlignment="1">
      <alignment vertical="center"/>
    </xf>
    <xf numFmtId="0" fontId="6" fillId="13" borderId="1" xfId="3" applyFont="1" applyFill="1" applyBorder="1" applyAlignment="1">
      <alignment horizontal="left" vertical="center" wrapText="1"/>
    </xf>
    <xf numFmtId="0" fontId="18" fillId="0" borderId="0" xfId="3" applyFont="1"/>
    <xf numFmtId="0" fontId="1" fillId="17" borderId="20" xfId="3" applyFont="1" applyFill="1" applyBorder="1" applyAlignment="1">
      <alignment horizontal="center" vertical="center"/>
    </xf>
    <xf numFmtId="0" fontId="1" fillId="15" borderId="20" xfId="3" applyFont="1" applyFill="1" applyBorder="1" applyAlignment="1">
      <alignment horizontal="center" vertical="center"/>
    </xf>
    <xf numFmtId="0" fontId="1" fillId="19" borderId="18" xfId="3" applyFont="1" applyFill="1" applyBorder="1" applyAlignment="1">
      <alignment horizontal="center" vertical="center"/>
    </xf>
    <xf numFmtId="0" fontId="1" fillId="15" borderId="18" xfId="3" applyFont="1" applyFill="1" applyBorder="1" applyAlignment="1">
      <alignment horizontal="center" vertical="center"/>
    </xf>
    <xf numFmtId="2" fontId="1" fillId="5" borderId="18" xfId="3" applyNumberFormat="1" applyFont="1" applyFill="1" applyBorder="1" applyAlignment="1">
      <alignment horizontal="center" vertical="center"/>
    </xf>
    <xf numFmtId="0" fontId="7" fillId="0" borderId="0" xfId="3" applyFont="1"/>
    <xf numFmtId="0" fontId="49" fillId="0" borderId="0" xfId="0" applyFont="1"/>
    <xf numFmtId="0" fontId="48" fillId="0" borderId="0" xfId="0" applyFont="1"/>
    <xf numFmtId="0" fontId="0" fillId="0" borderId="2" xfId="0" applyBorder="1" applyAlignment="1">
      <alignment horizontal="left" vertical="center"/>
    </xf>
    <xf numFmtId="0" fontId="0" fillId="0" borderId="28" xfId="0" applyBorder="1" applyAlignment="1">
      <alignment horizontal="center" vertical="center"/>
    </xf>
    <xf numFmtId="0" fontId="0" fillId="0" borderId="27" xfId="0" applyBorder="1" applyAlignment="1">
      <alignment horizontal="center" vertical="center"/>
    </xf>
    <xf numFmtId="0" fontId="0" fillId="0" borderId="26" xfId="0" applyBorder="1" applyAlignment="1">
      <alignment horizontal="center" vertical="center"/>
    </xf>
    <xf numFmtId="9" fontId="0" fillId="0" borderId="5" xfId="0" applyNumberFormat="1" applyBorder="1" applyAlignment="1">
      <alignment horizontal="center" vertical="center"/>
    </xf>
    <xf numFmtId="9" fontId="0" fillId="0" borderId="0" xfId="0" applyNumberFormat="1" applyBorder="1" applyAlignment="1">
      <alignment horizontal="center" vertical="center"/>
    </xf>
    <xf numFmtId="9" fontId="0" fillId="0" borderId="6" xfId="0" applyNumberFormat="1" applyBorder="1" applyAlignment="1">
      <alignment horizontal="center" vertical="center"/>
    </xf>
    <xf numFmtId="0" fontId="0" fillId="5" borderId="13" xfId="0" applyFill="1" applyBorder="1" applyAlignment="1">
      <alignment horizontal="left" vertical="center"/>
    </xf>
    <xf numFmtId="0" fontId="0" fillId="5" borderId="14" xfId="0" applyFill="1" applyBorder="1" applyAlignment="1">
      <alignment horizontal="center" vertical="center"/>
    </xf>
    <xf numFmtId="0" fontId="0" fillId="5" borderId="1" xfId="0" applyFill="1" applyBorder="1" applyAlignment="1">
      <alignment horizontal="center" vertical="center"/>
    </xf>
    <xf numFmtId="0" fontId="22" fillId="16" borderId="14" xfId="0" applyFont="1" applyFill="1" applyBorder="1"/>
    <xf numFmtId="0" fontId="22" fillId="16" borderId="10" xfId="0" applyFont="1" applyFill="1" applyBorder="1"/>
    <xf numFmtId="0" fontId="22" fillId="12" borderId="14" xfId="0" applyFont="1" applyFill="1" applyBorder="1"/>
    <xf numFmtId="0" fontId="22" fillId="12" borderId="10" xfId="0" applyFont="1" applyFill="1" applyBorder="1"/>
    <xf numFmtId="0" fontId="22" fillId="16" borderId="13" xfId="0" applyFont="1" applyFill="1" applyBorder="1" applyAlignment="1">
      <alignment vertical="center"/>
    </xf>
    <xf numFmtId="0" fontId="22" fillId="12" borderId="13" xfId="0" applyFont="1" applyFill="1" applyBorder="1" applyAlignment="1">
      <alignment vertical="center"/>
    </xf>
    <xf numFmtId="0" fontId="52" fillId="0" borderId="0" xfId="0" applyFont="1"/>
    <xf numFmtId="0" fontId="3" fillId="0" borderId="0" xfId="0" applyFont="1" applyFill="1" applyBorder="1" applyAlignment="1">
      <alignment horizontal="left" vertical="center"/>
    </xf>
    <xf numFmtId="0" fontId="1" fillId="0" borderId="2" xfId="0" applyFont="1" applyFill="1" applyBorder="1"/>
    <xf numFmtId="0" fontId="3" fillId="0" borderId="5" xfId="0" applyFont="1" applyFill="1" applyBorder="1" applyAlignment="1">
      <alignment horizontal="left" vertical="center"/>
    </xf>
    <xf numFmtId="0" fontId="1" fillId="0" borderId="7" xfId="0" applyFont="1" applyFill="1" applyBorder="1"/>
    <xf numFmtId="0" fontId="1" fillId="0" borderId="8" xfId="0" applyFont="1" applyFill="1" applyBorder="1"/>
    <xf numFmtId="0" fontId="3" fillId="0" borderId="6" xfId="0" applyFont="1" applyFill="1" applyBorder="1" applyAlignment="1">
      <alignment horizontal="left" vertical="center"/>
    </xf>
    <xf numFmtId="0" fontId="1" fillId="0" borderId="9" xfId="0" applyFont="1" applyFill="1" applyBorder="1"/>
    <xf numFmtId="9" fontId="23" fillId="7" borderId="1" xfId="1" applyFont="1" applyFill="1" applyBorder="1" applyAlignment="1">
      <alignment horizontal="center" vertical="center"/>
    </xf>
    <xf numFmtId="0" fontId="6" fillId="4" borderId="1" xfId="0" applyFont="1" applyFill="1" applyBorder="1" applyAlignment="1">
      <alignment horizontal="center" vertical="center" wrapText="1"/>
    </xf>
    <xf numFmtId="9" fontId="1" fillId="4" borderId="11" xfId="0" applyNumberFormat="1" applyFont="1" applyFill="1" applyBorder="1" applyAlignment="1">
      <alignment horizontal="center" vertical="center"/>
    </xf>
    <xf numFmtId="9" fontId="1" fillId="4" borderId="26" xfId="0" applyNumberFormat="1" applyFont="1" applyFill="1" applyBorder="1" applyAlignment="1">
      <alignment horizontal="center" vertical="center"/>
    </xf>
    <xf numFmtId="9" fontId="1" fillId="4" borderId="9" xfId="0" applyNumberFormat="1" applyFont="1" applyFill="1" applyBorder="1" applyAlignment="1">
      <alignment horizontal="center" vertical="center"/>
    </xf>
    <xf numFmtId="9" fontId="1" fillId="4" borderId="1" xfId="0" applyNumberFormat="1" applyFont="1" applyFill="1" applyBorder="1" applyAlignment="1">
      <alignment horizontal="center" vertical="center"/>
    </xf>
    <xf numFmtId="9" fontId="1" fillId="4" borderId="10" xfId="0" applyNumberFormat="1" applyFont="1" applyFill="1" applyBorder="1" applyAlignment="1">
      <alignment horizontal="center" vertical="center"/>
    </xf>
    <xf numFmtId="9" fontId="1" fillId="20" borderId="11" xfId="0" applyNumberFormat="1" applyFont="1" applyFill="1" applyBorder="1" applyAlignment="1">
      <alignment horizontal="center" vertical="center"/>
    </xf>
    <xf numFmtId="9" fontId="1" fillId="20" borderId="26" xfId="0" applyNumberFormat="1" applyFont="1" applyFill="1" applyBorder="1" applyAlignment="1">
      <alignment horizontal="center" vertical="center"/>
    </xf>
    <xf numFmtId="0" fontId="9" fillId="0" borderId="0" xfId="3" applyFont="1" applyAlignment="1">
      <alignment vertical="center"/>
    </xf>
    <xf numFmtId="0" fontId="9" fillId="0" borderId="0" xfId="3" applyFont="1"/>
    <xf numFmtId="9" fontId="22" fillId="0" borderId="0" xfId="1" applyFont="1" applyAlignment="1">
      <alignment horizontal="right"/>
    </xf>
    <xf numFmtId="0" fontId="12" fillId="0" borderId="62" xfId="3" applyFont="1" applyBorder="1" applyAlignment="1">
      <alignment horizontal="center" vertical="center"/>
    </xf>
    <xf numFmtId="0" fontId="42" fillId="15" borderId="62" xfId="3" applyFont="1" applyFill="1" applyBorder="1" applyAlignment="1">
      <alignment horizontal="center" vertical="center"/>
    </xf>
    <xf numFmtId="0" fontId="42" fillId="0" borderId="62" xfId="3" applyFont="1" applyBorder="1" applyAlignment="1">
      <alignment horizontal="center" vertical="center"/>
    </xf>
    <xf numFmtId="0" fontId="58" fillId="15" borderId="62" xfId="3" applyFont="1" applyFill="1" applyBorder="1" applyAlignment="1">
      <alignment horizontal="center" vertical="center"/>
    </xf>
    <xf numFmtId="0" fontId="57" fillId="0" borderId="0" xfId="3" applyFont="1"/>
    <xf numFmtId="0" fontId="60" fillId="21" borderId="62" xfId="3" applyFont="1" applyFill="1" applyBorder="1" applyAlignment="1">
      <alignment horizontal="center" vertical="center"/>
    </xf>
    <xf numFmtId="0" fontId="22" fillId="5" borderId="3" xfId="0" applyFont="1" applyFill="1" applyBorder="1" applyAlignment="1">
      <alignment horizontal="center" vertical="center"/>
    </xf>
    <xf numFmtId="0" fontId="22" fillId="0" borderId="77" xfId="0" applyFont="1" applyBorder="1" applyAlignment="1">
      <alignment horizontal="center"/>
    </xf>
    <xf numFmtId="0" fontId="22" fillId="0" borderId="78" xfId="0" applyFont="1" applyBorder="1" applyAlignment="1">
      <alignment horizontal="center"/>
    </xf>
    <xf numFmtId="0" fontId="22" fillId="0" borderId="79" xfId="0" applyFont="1" applyBorder="1" applyAlignment="1">
      <alignment horizontal="center"/>
    </xf>
    <xf numFmtId="0" fontId="40" fillId="5" borderId="64" xfId="0" applyFont="1" applyFill="1" applyBorder="1" applyAlignment="1">
      <alignment horizontal="center"/>
    </xf>
    <xf numFmtId="0" fontId="22" fillId="5" borderId="75" xfId="0" applyFont="1" applyFill="1" applyBorder="1" applyAlignment="1">
      <alignment horizontal="center"/>
    </xf>
    <xf numFmtId="0" fontId="22" fillId="5" borderId="73" xfId="0" applyFont="1" applyFill="1" applyBorder="1" applyAlignment="1">
      <alignment horizontal="center"/>
    </xf>
    <xf numFmtId="0" fontId="22" fillId="5" borderId="74" xfId="0" applyFont="1" applyFill="1" applyBorder="1" applyAlignment="1">
      <alignment horizontal="center"/>
    </xf>
    <xf numFmtId="0" fontId="22" fillId="0" borderId="76" xfId="0" applyFont="1" applyFill="1" applyBorder="1" applyAlignment="1">
      <alignment horizontal="center" vertical="center"/>
    </xf>
    <xf numFmtId="0" fontId="21" fillId="4" borderId="0" xfId="0" applyFont="1" applyFill="1" applyBorder="1"/>
    <xf numFmtId="0" fontId="1" fillId="22" borderId="24" xfId="0" applyFont="1" applyFill="1" applyBorder="1"/>
    <xf numFmtId="0" fontId="1" fillId="22" borderId="57" xfId="0" applyFont="1" applyFill="1" applyBorder="1"/>
    <xf numFmtId="171" fontId="1" fillId="22" borderId="9" xfId="0" applyNumberFormat="1" applyFont="1" applyFill="1" applyBorder="1" applyAlignment="1">
      <alignment horizontal="center"/>
    </xf>
    <xf numFmtId="0" fontId="21" fillId="4" borderId="8" xfId="0" applyFont="1" applyFill="1" applyBorder="1"/>
    <xf numFmtId="0" fontId="40" fillId="5" borderId="3" xfId="0" applyFont="1" applyFill="1" applyBorder="1" applyAlignment="1">
      <alignment vertical="center"/>
    </xf>
    <xf numFmtId="0" fontId="42" fillId="5" borderId="62" xfId="3" applyFont="1" applyFill="1" applyBorder="1" applyAlignment="1">
      <alignment horizontal="center" vertical="center"/>
    </xf>
    <xf numFmtId="0" fontId="12" fillId="5" borderId="62" xfId="3" applyFont="1" applyFill="1" applyBorder="1" applyAlignment="1">
      <alignment horizontal="left" vertical="center"/>
    </xf>
    <xf numFmtId="0" fontId="9" fillId="5" borderId="80" xfId="3" applyFont="1" applyFill="1" applyBorder="1"/>
    <xf numFmtId="0" fontId="10" fillId="5" borderId="82" xfId="3" applyFont="1" applyFill="1" applyBorder="1" applyAlignment="1">
      <alignment horizontal="center" vertical="center" wrapText="1"/>
    </xf>
    <xf numFmtId="0" fontId="10" fillId="5" borderId="83" xfId="3" applyFont="1" applyFill="1" applyBorder="1" applyAlignment="1">
      <alignment horizontal="center" vertical="center" wrapText="1"/>
    </xf>
    <xf numFmtId="0" fontId="10" fillId="5" borderId="62" xfId="3" applyFont="1" applyFill="1" applyBorder="1" applyAlignment="1">
      <alignment horizontal="center" vertical="center" wrapText="1"/>
    </xf>
    <xf numFmtId="0" fontId="2" fillId="5" borderId="62" xfId="4" applyFont="1" applyFill="1" applyBorder="1" applyAlignment="1">
      <alignment vertical="center"/>
    </xf>
    <xf numFmtId="0" fontId="12" fillId="0" borderId="84" xfId="3" applyFont="1" applyBorder="1" applyAlignment="1">
      <alignment vertical="center"/>
    </xf>
    <xf numFmtId="0" fontId="12" fillId="0" borderId="85" xfId="3" applyFont="1" applyBorder="1"/>
    <xf numFmtId="0" fontId="12" fillId="0" borderId="86" xfId="3" applyFont="1" applyBorder="1" applyAlignment="1">
      <alignment vertical="center"/>
    </xf>
    <xf numFmtId="0" fontId="12" fillId="0" borderId="87" xfId="3" applyFont="1" applyBorder="1" applyAlignment="1">
      <alignment vertical="center"/>
    </xf>
    <xf numFmtId="0" fontId="12" fillId="0" borderId="88" xfId="3" applyFont="1" applyBorder="1" applyAlignment="1">
      <alignment vertical="center"/>
    </xf>
    <xf numFmtId="0" fontId="12" fillId="0" borderId="89" xfId="3" applyFont="1" applyBorder="1" applyAlignment="1">
      <alignment vertical="center"/>
    </xf>
    <xf numFmtId="0" fontId="12" fillId="0" borderId="90" xfId="3" applyFont="1" applyBorder="1" applyAlignment="1">
      <alignment vertical="center"/>
    </xf>
    <xf numFmtId="0" fontId="12" fillId="0" borderId="91" xfId="3" applyFont="1" applyBorder="1" applyAlignment="1">
      <alignment vertical="center"/>
    </xf>
    <xf numFmtId="0" fontId="10" fillId="5" borderId="62" xfId="3" applyFont="1" applyFill="1" applyBorder="1" applyAlignment="1">
      <alignment vertical="center"/>
    </xf>
    <xf numFmtId="0" fontId="10" fillId="5" borderId="81" xfId="3" applyFont="1" applyFill="1" applyBorder="1" applyAlignment="1">
      <alignment vertical="center"/>
    </xf>
    <xf numFmtId="0" fontId="61" fillId="0" borderId="0" xfId="3" applyFont="1"/>
    <xf numFmtId="1" fontId="1" fillId="5" borderId="20" xfId="3" applyNumberFormat="1" applyFont="1" applyFill="1" applyBorder="1" applyAlignment="1">
      <alignment horizontal="center" vertical="center"/>
    </xf>
    <xf numFmtId="1" fontId="42" fillId="15" borderId="1" xfId="0" applyNumberFormat="1" applyFont="1" applyFill="1" applyBorder="1" applyAlignment="1">
      <alignment horizontal="center" vertical="center" wrapText="1"/>
    </xf>
    <xf numFmtId="0" fontId="1" fillId="0" borderId="63" xfId="0" applyFont="1" applyBorder="1" applyAlignment="1">
      <alignment horizontal="center" vertical="center"/>
    </xf>
    <xf numFmtId="0" fontId="21" fillId="0" borderId="65" xfId="0" applyFont="1" applyBorder="1" applyAlignment="1">
      <alignment horizontal="center"/>
    </xf>
    <xf numFmtId="0" fontId="21" fillId="0" borderId="66" xfId="0" applyFont="1" applyBorder="1" applyAlignment="1">
      <alignment horizontal="center"/>
    </xf>
    <xf numFmtId="0" fontId="21" fillId="0" borderId="67" xfId="0" applyFont="1" applyBorder="1"/>
    <xf numFmtId="0" fontId="1" fillId="0" borderId="68" xfId="0" applyFont="1" applyBorder="1" applyAlignment="1">
      <alignment horizontal="center" vertical="center"/>
    </xf>
    <xf numFmtId="0" fontId="1" fillId="0" borderId="69" xfId="0" applyFont="1" applyBorder="1" applyAlignment="1">
      <alignment horizontal="center" vertical="center"/>
    </xf>
    <xf numFmtId="0" fontId="1" fillId="0" borderId="70" xfId="0" applyFont="1" applyBorder="1" applyAlignment="1">
      <alignment horizontal="center" vertical="center"/>
    </xf>
    <xf numFmtId="0" fontId="1" fillId="0" borderId="71" xfId="0" applyFont="1" applyBorder="1" applyAlignment="1">
      <alignment horizontal="center" vertical="center"/>
    </xf>
    <xf numFmtId="0" fontId="1" fillId="0" borderId="72" xfId="0" applyFont="1" applyBorder="1" applyAlignment="1">
      <alignment horizontal="center" vertical="center"/>
    </xf>
    <xf numFmtId="1" fontId="1" fillId="0" borderId="0" xfId="0" applyNumberFormat="1" applyFont="1"/>
    <xf numFmtId="2" fontId="22" fillId="0" borderId="0" xfId="5" applyNumberFormat="1" applyFont="1"/>
    <xf numFmtId="0" fontId="0" fillId="0" borderId="92" xfId="0" applyBorder="1"/>
    <xf numFmtId="0" fontId="0" fillId="0" borderId="93" xfId="0" applyBorder="1"/>
    <xf numFmtId="0" fontId="38" fillId="13" borderId="13" xfId="0" applyFont="1" applyFill="1" applyBorder="1" applyAlignment="1" applyProtection="1">
      <alignment vertical="center"/>
      <protection locked="0"/>
    </xf>
    <xf numFmtId="182" fontId="38" fillId="14" borderId="1" xfId="0" applyNumberFormat="1" applyFont="1" applyFill="1" applyBorder="1" applyAlignment="1" applyProtection="1">
      <alignment horizontal="center" vertical="center"/>
      <protection locked="0"/>
    </xf>
    <xf numFmtId="179" fontId="2" fillId="6" borderId="1" xfId="0" applyNumberFormat="1" applyFont="1" applyFill="1" applyBorder="1" applyAlignment="1" applyProtection="1">
      <alignment horizontal="center" vertical="center"/>
      <protection locked="0"/>
    </xf>
    <xf numFmtId="180" fontId="2" fillId="6" borderId="1" xfId="0" applyNumberFormat="1" applyFont="1" applyFill="1" applyBorder="1" applyAlignment="1" applyProtection="1">
      <alignment horizontal="center" vertical="center"/>
      <protection locked="0"/>
    </xf>
    <xf numFmtId="178" fontId="2" fillId="6" borderId="1" xfId="0" applyNumberFormat="1" applyFont="1" applyFill="1" applyBorder="1" applyAlignment="1" applyProtection="1">
      <alignment horizontal="center" vertical="center"/>
      <protection locked="0"/>
    </xf>
    <xf numFmtId="166" fontId="2" fillId="6" borderId="1" xfId="0" applyNumberFormat="1" applyFont="1" applyFill="1" applyBorder="1" applyAlignment="1" applyProtection="1">
      <alignment horizontal="center" vertical="center"/>
      <protection locked="0"/>
    </xf>
    <xf numFmtId="0" fontId="2" fillId="6" borderId="1" xfId="0" applyFont="1" applyFill="1" applyBorder="1" applyAlignment="1" applyProtection="1">
      <alignment horizontal="center" vertical="center"/>
      <protection locked="0"/>
    </xf>
    <xf numFmtId="172" fontId="2" fillId="8" borderId="1" xfId="0" applyNumberFormat="1" applyFont="1" applyFill="1" applyBorder="1" applyAlignment="1" applyProtection="1">
      <alignment horizontal="center" vertical="center"/>
    </xf>
    <xf numFmtId="180" fontId="2" fillId="6" borderId="1" xfId="0" applyNumberFormat="1" applyFont="1" applyFill="1" applyBorder="1" applyAlignment="1" applyProtection="1">
      <alignment horizontal="center" vertical="center" wrapText="1"/>
      <protection locked="0"/>
    </xf>
    <xf numFmtId="181" fontId="2" fillId="6" borderId="1" xfId="1" applyNumberFormat="1" applyFont="1" applyFill="1" applyBorder="1" applyAlignment="1" applyProtection="1">
      <alignment horizontal="center" vertical="center" wrapText="1"/>
      <protection locked="0"/>
    </xf>
    <xf numFmtId="0" fontId="40" fillId="16" borderId="1" xfId="0" applyFont="1" applyFill="1" applyBorder="1" applyAlignment="1" applyProtection="1">
      <alignment horizontal="center" vertical="center" wrapText="1"/>
      <protection locked="0"/>
    </xf>
    <xf numFmtId="0" fontId="1" fillId="13" borderId="64" xfId="0" applyFont="1" applyFill="1" applyBorder="1" applyAlignment="1">
      <alignment horizontal="center" vertical="center"/>
    </xf>
    <xf numFmtId="0" fontId="28" fillId="12" borderId="13" xfId="0" applyFont="1" applyFill="1" applyBorder="1" applyAlignment="1">
      <alignment horizontal="center" vertical="center" wrapText="1"/>
    </xf>
    <xf numFmtId="0" fontId="39" fillId="13" borderId="64" xfId="0" applyFont="1" applyFill="1" applyBorder="1" applyAlignment="1">
      <alignment horizontal="center" vertical="center"/>
    </xf>
    <xf numFmtId="0" fontId="38" fillId="13" borderId="13" xfId="0" applyFont="1" applyFill="1" applyBorder="1" applyAlignment="1" applyProtection="1">
      <alignment horizontal="left" vertical="center"/>
      <protection locked="0"/>
    </xf>
    <xf numFmtId="182" fontId="1" fillId="6" borderId="1" xfId="0" applyNumberFormat="1" applyFont="1" applyFill="1" applyBorder="1" applyAlignment="1" applyProtection="1">
      <alignment horizontal="center" vertical="center" wrapText="1"/>
      <protection locked="0"/>
    </xf>
    <xf numFmtId="0" fontId="38" fillId="13" borderId="64" xfId="0" applyFont="1" applyFill="1" applyBorder="1" applyAlignment="1">
      <alignment horizontal="center" vertical="center"/>
    </xf>
    <xf numFmtId="0" fontId="28" fillId="16" borderId="1" xfId="0" applyFont="1" applyFill="1" applyBorder="1" applyAlignment="1" applyProtection="1">
      <alignment horizontal="center" vertical="center" wrapText="1"/>
      <protection locked="0"/>
    </xf>
    <xf numFmtId="182" fontId="1" fillId="6" borderId="1" xfId="0" applyNumberFormat="1" applyFont="1" applyFill="1" applyBorder="1" applyAlignment="1" applyProtection="1">
      <alignment horizontal="left" vertical="center" wrapText="1"/>
      <protection locked="0"/>
    </xf>
    <xf numFmtId="185" fontId="1" fillId="6" borderId="1" xfId="0" applyNumberFormat="1" applyFont="1" applyFill="1" applyBorder="1" applyAlignment="1" applyProtection="1">
      <alignment horizontal="center" vertical="center" wrapText="1"/>
      <protection locked="0"/>
    </xf>
    <xf numFmtId="0" fontId="38" fillId="13" borderId="1" xfId="0" applyFont="1" applyFill="1" applyBorder="1" applyAlignment="1" applyProtection="1">
      <alignment vertical="center" wrapText="1"/>
      <protection locked="0"/>
    </xf>
    <xf numFmtId="0" fontId="38" fillId="13" borderId="1" xfId="0" applyFont="1" applyFill="1" applyBorder="1" applyAlignment="1" applyProtection="1">
      <alignment horizontal="left" vertical="center" wrapText="1"/>
      <protection locked="0"/>
    </xf>
    <xf numFmtId="0" fontId="38" fillId="13" borderId="1" xfId="0" applyFont="1" applyFill="1" applyBorder="1" applyAlignment="1" applyProtection="1">
      <alignment horizontal="center" vertical="center" wrapText="1"/>
      <protection locked="0"/>
    </xf>
    <xf numFmtId="182" fontId="2" fillId="6" borderId="1" xfId="0" applyNumberFormat="1" applyFont="1" applyFill="1" applyBorder="1" applyAlignment="1" applyProtection="1">
      <alignment horizontal="center" vertical="center" wrapText="1"/>
      <protection locked="0"/>
    </xf>
    <xf numFmtId="0" fontId="42" fillId="0" borderId="94" xfId="3" applyFont="1" applyBorder="1" applyAlignment="1">
      <alignment horizontal="center" vertical="center"/>
    </xf>
    <xf numFmtId="0" fontId="59" fillId="0" borderId="94" xfId="4" applyFont="1" applyBorder="1" applyAlignment="1">
      <alignment horizontal="center" vertical="center"/>
    </xf>
    <xf numFmtId="0" fontId="18" fillId="0" borderId="94" xfId="3" applyFont="1" applyBorder="1" applyAlignment="1">
      <alignment horizontal="center" vertical="center"/>
    </xf>
    <xf numFmtId="0" fontId="12" fillId="0" borderId="94" xfId="3" applyFont="1" applyBorder="1" applyAlignment="1">
      <alignment horizontal="center" vertical="center"/>
    </xf>
    <xf numFmtId="0" fontId="2" fillId="5" borderId="48" xfId="3" applyFont="1" applyFill="1" applyBorder="1" applyAlignment="1">
      <alignment horizontal="center" vertical="center"/>
    </xf>
    <xf numFmtId="0" fontId="2" fillId="17" borderId="49" xfId="3" applyFont="1" applyFill="1" applyBorder="1" applyAlignment="1">
      <alignment horizontal="center" vertical="center"/>
    </xf>
    <xf numFmtId="0" fontId="2" fillId="19" borderId="49" xfId="3" applyFont="1" applyFill="1" applyBorder="1" applyAlignment="1">
      <alignment horizontal="center" vertical="center"/>
    </xf>
    <xf numFmtId="0" fontId="2" fillId="15" borderId="49" xfId="3" applyFont="1" applyFill="1" applyBorder="1" applyAlignment="1">
      <alignment horizontal="center" vertical="center"/>
    </xf>
    <xf numFmtId="0" fontId="2" fillId="5" borderId="49" xfId="3" applyFont="1" applyFill="1" applyBorder="1" applyAlignment="1">
      <alignment horizontal="center" vertical="center"/>
    </xf>
    <xf numFmtId="0" fontId="2" fillId="5" borderId="50" xfId="3" applyFont="1" applyFill="1" applyBorder="1" applyAlignment="1">
      <alignment horizontal="center" vertical="center"/>
    </xf>
    <xf numFmtId="0" fontId="2" fillId="13" borderId="95" xfId="3" applyFont="1" applyFill="1" applyBorder="1" applyAlignment="1">
      <alignment vertical="center"/>
    </xf>
    <xf numFmtId="2" fontId="1" fillId="5" borderId="96" xfId="3" applyNumberFormat="1" applyFont="1" applyFill="1" applyBorder="1" applyAlignment="1">
      <alignment horizontal="center" vertical="center"/>
    </xf>
    <xf numFmtId="0" fontId="1" fillId="17" borderId="96" xfId="3" applyFont="1" applyFill="1" applyBorder="1" applyAlignment="1">
      <alignment horizontal="center" vertical="center"/>
    </xf>
    <xf numFmtId="0" fontId="1" fillId="19" borderId="96" xfId="3" applyFont="1" applyFill="1" applyBorder="1" applyAlignment="1">
      <alignment horizontal="center" vertical="center"/>
    </xf>
    <xf numFmtId="0" fontId="1" fillId="15" borderId="96" xfId="3" applyFont="1" applyFill="1" applyBorder="1" applyAlignment="1">
      <alignment horizontal="center" vertical="center"/>
    </xf>
    <xf numFmtId="1" fontId="1" fillId="5" borderId="96" xfId="3" applyNumberFormat="1" applyFont="1" applyFill="1" applyBorder="1" applyAlignment="1">
      <alignment horizontal="center" vertical="center"/>
    </xf>
    <xf numFmtId="1" fontId="1" fillId="5" borderId="97" xfId="3" applyNumberFormat="1" applyFont="1" applyFill="1" applyBorder="1" applyAlignment="1">
      <alignment horizontal="center" vertical="center"/>
    </xf>
    <xf numFmtId="0" fontId="2" fillId="13" borderId="98" xfId="3" applyFont="1" applyFill="1" applyBorder="1" applyAlignment="1">
      <alignment vertical="center"/>
    </xf>
    <xf numFmtId="1" fontId="1" fillId="5" borderId="99" xfId="3" applyNumberFormat="1" applyFont="1" applyFill="1" applyBorder="1" applyAlignment="1">
      <alignment horizontal="center" vertical="center"/>
    </xf>
    <xf numFmtId="0" fontId="2" fillId="13" borderId="100" xfId="3" applyFont="1" applyFill="1" applyBorder="1" applyAlignment="1">
      <alignment vertical="center"/>
    </xf>
    <xf numFmtId="2" fontId="1" fillId="5" borderId="101" xfId="3" applyNumberFormat="1" applyFont="1" applyFill="1" applyBorder="1" applyAlignment="1">
      <alignment horizontal="center" vertical="center"/>
    </xf>
    <xf numFmtId="0" fontId="1" fillId="17" borderId="102" xfId="3" applyFont="1" applyFill="1" applyBorder="1" applyAlignment="1">
      <alignment horizontal="center" vertical="center"/>
    </xf>
    <xf numFmtId="0" fontId="1" fillId="19" borderId="102" xfId="3" applyFont="1" applyFill="1" applyBorder="1" applyAlignment="1">
      <alignment horizontal="center" vertical="center"/>
    </xf>
    <xf numFmtId="0" fontId="1" fillId="15" borderId="102" xfId="3" applyFont="1" applyFill="1" applyBorder="1" applyAlignment="1">
      <alignment horizontal="center" vertical="center"/>
    </xf>
    <xf numFmtId="1" fontId="1" fillId="5" borderId="102" xfId="3" applyNumberFormat="1" applyFont="1" applyFill="1" applyBorder="1" applyAlignment="1">
      <alignment horizontal="center" vertical="center"/>
    </xf>
    <xf numFmtId="1" fontId="1" fillId="5" borderId="103" xfId="3" applyNumberFormat="1" applyFont="1" applyFill="1" applyBorder="1" applyAlignment="1">
      <alignment horizontal="center" vertical="center"/>
    </xf>
    <xf numFmtId="0" fontId="42" fillId="15" borderId="1" xfId="0" applyNumberFormat="1" applyFont="1" applyFill="1" applyBorder="1" applyAlignment="1">
      <alignment horizontal="center" vertical="center" wrapText="1"/>
    </xf>
    <xf numFmtId="171" fontId="22" fillId="0" borderId="0" xfId="0" applyNumberFormat="1" applyFont="1" applyProtection="1"/>
    <xf numFmtId="0" fontId="62" fillId="0" borderId="0" xfId="3" applyFont="1" applyAlignment="1">
      <alignment vertical="center"/>
    </xf>
    <xf numFmtId="1" fontId="41" fillId="5" borderId="8" xfId="3" applyNumberFormat="1" applyFont="1" applyFill="1" applyBorder="1" applyAlignment="1">
      <alignment horizontal="center" vertical="center"/>
    </xf>
    <xf numFmtId="0" fontId="36" fillId="5" borderId="8" xfId="0" applyFont="1" applyFill="1" applyBorder="1"/>
    <xf numFmtId="0" fontId="36" fillId="5" borderId="8" xfId="0" applyFont="1" applyFill="1" applyBorder="1" applyAlignment="1">
      <alignment horizontal="center" vertical="center"/>
    </xf>
    <xf numFmtId="0" fontId="36" fillId="5" borderId="0" xfId="0" applyFont="1" applyFill="1" applyBorder="1" applyAlignment="1">
      <alignment horizontal="center"/>
    </xf>
    <xf numFmtId="0" fontId="36" fillId="4" borderId="8" xfId="0" applyFont="1" applyFill="1" applyBorder="1" applyAlignment="1">
      <alignment horizontal="center"/>
    </xf>
    <xf numFmtId="0" fontId="36" fillId="4" borderId="8" xfId="0" applyFont="1" applyFill="1" applyBorder="1" applyAlignment="1">
      <alignment horizontal="center" vertical="center"/>
    </xf>
    <xf numFmtId="0" fontId="12" fillId="0" borderId="63" xfId="3" applyFont="1" applyBorder="1" applyAlignment="1">
      <alignment horizontal="center" vertical="center"/>
    </xf>
    <xf numFmtId="0" fontId="36" fillId="5" borderId="30" xfId="0" applyFont="1" applyFill="1" applyBorder="1"/>
    <xf numFmtId="0" fontId="36" fillId="4" borderId="0" xfId="0" applyFont="1" applyFill="1" applyBorder="1"/>
    <xf numFmtId="0" fontId="41" fillId="4" borderId="0" xfId="0" applyFont="1" applyFill="1" applyBorder="1"/>
    <xf numFmtId="9" fontId="1" fillId="4" borderId="8" xfId="0" applyNumberFormat="1" applyFont="1" applyFill="1" applyBorder="1" applyAlignment="1">
      <alignment horizontal="center" vertical="center"/>
    </xf>
    <xf numFmtId="9" fontId="22" fillId="0" borderId="0" xfId="0" applyNumberFormat="1" applyFont="1"/>
    <xf numFmtId="9" fontId="23" fillId="7" borderId="64" xfId="1" applyFont="1" applyFill="1" applyBorder="1" applyAlignment="1">
      <alignment horizontal="center" vertical="center"/>
    </xf>
    <xf numFmtId="0" fontId="40" fillId="0" borderId="0" xfId="0" applyFont="1"/>
    <xf numFmtId="0" fontId="2" fillId="13" borderId="104" xfId="0" applyFont="1" applyFill="1" applyBorder="1"/>
    <xf numFmtId="0" fontId="2" fillId="13" borderId="96" xfId="0" applyFont="1" applyFill="1" applyBorder="1"/>
    <xf numFmtId="0" fontId="2" fillId="13" borderId="97" xfId="0" applyFont="1" applyFill="1" applyBorder="1"/>
    <xf numFmtId="0" fontId="2" fillId="13" borderId="105" xfId="0" applyFont="1" applyFill="1" applyBorder="1"/>
    <xf numFmtId="0" fontId="2" fillId="13" borderId="99" xfId="0" applyFont="1" applyFill="1" applyBorder="1"/>
    <xf numFmtId="0" fontId="1" fillId="5" borderId="105" xfId="0" applyFont="1" applyFill="1" applyBorder="1" applyAlignment="1">
      <alignment horizontal="left"/>
    </xf>
    <xf numFmtId="0" fontId="1" fillId="5" borderId="99" xfId="0" applyFont="1" applyFill="1" applyBorder="1" applyAlignment="1">
      <alignment horizontal="center"/>
    </xf>
    <xf numFmtId="0" fontId="1" fillId="5" borderId="106" xfId="0" applyFont="1" applyFill="1" applyBorder="1" applyAlignment="1">
      <alignment horizontal="left"/>
    </xf>
    <xf numFmtId="0" fontId="1" fillId="5" borderId="102" xfId="0" applyFont="1" applyFill="1" applyBorder="1" applyAlignment="1">
      <alignment horizontal="center"/>
    </xf>
    <xf numFmtId="0" fontId="1" fillId="5" borderId="102" xfId="0" applyFont="1" applyFill="1" applyBorder="1"/>
    <xf numFmtId="0" fontId="1" fillId="5" borderId="103" xfId="0" applyFont="1" applyFill="1" applyBorder="1" applyAlignment="1">
      <alignment horizontal="center"/>
    </xf>
    <xf numFmtId="0" fontId="10" fillId="13" borderId="10" xfId="3" applyFont="1" applyFill="1" applyBorder="1" applyAlignment="1">
      <alignment horizontal="center" vertical="center"/>
    </xf>
    <xf numFmtId="0" fontId="64" fillId="0" borderId="92" xfId="0" applyFont="1" applyBorder="1"/>
    <xf numFmtId="180" fontId="65" fillId="6" borderId="1" xfId="0" applyNumberFormat="1" applyFont="1" applyFill="1" applyBorder="1" applyAlignment="1" applyProtection="1">
      <alignment horizontal="center" vertical="center" wrapText="1"/>
      <protection locked="0"/>
    </xf>
    <xf numFmtId="0" fontId="1" fillId="17" borderId="24" xfId="0" applyFont="1" applyFill="1" applyBorder="1" applyAlignment="1">
      <alignment horizontal="center" vertical="center" wrapText="1"/>
    </xf>
    <xf numFmtId="0" fontId="1" fillId="17" borderId="22" xfId="0" applyFont="1" applyFill="1" applyBorder="1" applyAlignment="1">
      <alignment horizontal="center" vertical="center" wrapText="1"/>
    </xf>
    <xf numFmtId="0" fontId="1" fillId="17" borderId="20" xfId="0" applyFont="1" applyFill="1" applyBorder="1" applyAlignment="1">
      <alignment horizontal="center" vertical="center" wrapText="1"/>
    </xf>
    <xf numFmtId="0" fontId="66" fillId="4" borderId="10" xfId="0" applyFont="1" applyFill="1" applyBorder="1" applyAlignment="1">
      <alignment horizontal="center" vertical="center" wrapText="1"/>
    </xf>
    <xf numFmtId="0" fontId="21" fillId="5" borderId="33" xfId="0" applyFont="1" applyFill="1" applyBorder="1" applyAlignment="1">
      <alignment horizontal="center" vertical="center"/>
    </xf>
    <xf numFmtId="0" fontId="21" fillId="5" borderId="34" xfId="0" applyFont="1" applyFill="1" applyBorder="1" applyAlignment="1">
      <alignment horizontal="center" vertical="center"/>
    </xf>
    <xf numFmtId="3" fontId="21" fillId="5" borderId="61" xfId="0" applyNumberFormat="1" applyFont="1" applyFill="1" applyBorder="1" applyAlignment="1">
      <alignment horizontal="center" vertical="center"/>
    </xf>
    <xf numFmtId="0" fontId="21" fillId="5" borderId="32" xfId="0" applyFont="1" applyFill="1" applyBorder="1" applyAlignment="1">
      <alignment horizontal="center" vertical="center"/>
    </xf>
    <xf numFmtId="0" fontId="18" fillId="0" borderId="0" xfId="3" applyFont="1" applyFill="1"/>
    <xf numFmtId="0" fontId="12" fillId="0" borderId="0" xfId="3" applyFont="1" applyFill="1"/>
    <xf numFmtId="0" fontId="9" fillId="0" borderId="0" xfId="3" quotePrefix="1" applyFont="1" applyFill="1"/>
    <xf numFmtId="0" fontId="0" fillId="0" borderId="0" xfId="0" quotePrefix="1" applyFill="1"/>
    <xf numFmtId="0" fontId="0" fillId="0" borderId="0" xfId="0" applyFill="1" applyAlignment="1">
      <alignment horizontal="left"/>
    </xf>
    <xf numFmtId="0" fontId="0" fillId="0" borderId="0" xfId="0" applyFill="1"/>
    <xf numFmtId="0" fontId="22" fillId="0" borderId="0" xfId="0" quotePrefix="1" applyFont="1" applyFill="1"/>
    <xf numFmtId="0" fontId="22" fillId="0" borderId="0" xfId="0" applyFont="1" applyFill="1"/>
    <xf numFmtId="0" fontId="36" fillId="5" borderId="3" xfId="0" applyFont="1" applyFill="1" applyBorder="1" applyAlignment="1">
      <alignment horizontal="center" vertical="center"/>
    </xf>
    <xf numFmtId="0" fontId="51" fillId="0" borderId="0" xfId="0" applyFont="1" applyBorder="1"/>
    <xf numFmtId="0" fontId="22" fillId="0" borderId="0" xfId="0" applyFont="1" applyBorder="1"/>
    <xf numFmtId="0" fontId="47" fillId="5" borderId="0" xfId="0" applyFont="1" applyFill="1" applyBorder="1" applyAlignment="1">
      <alignment horizontal="center" vertical="center"/>
    </xf>
    <xf numFmtId="175" fontId="22" fillId="0" borderId="0" xfId="0" applyNumberFormat="1" applyFont="1"/>
    <xf numFmtId="1" fontId="39" fillId="13" borderId="1" xfId="0" applyNumberFormat="1" applyFont="1" applyFill="1" applyBorder="1" applyAlignment="1">
      <alignment horizontal="center" vertical="center"/>
    </xf>
    <xf numFmtId="0" fontId="36" fillId="5" borderId="3" xfId="0" applyFont="1" applyFill="1" applyBorder="1" applyAlignment="1">
      <alignment horizontal="center" vertical="center"/>
    </xf>
    <xf numFmtId="0" fontId="22" fillId="5" borderId="107" xfId="0" applyFont="1" applyFill="1" applyBorder="1"/>
    <xf numFmtId="0" fontId="22" fillId="5" borderId="108" xfId="0" applyFont="1" applyFill="1" applyBorder="1" applyAlignment="1">
      <alignment horizontal="center"/>
    </xf>
    <xf numFmtId="0" fontId="22" fillId="5" borderId="109" xfId="0" applyFont="1" applyFill="1" applyBorder="1" applyAlignment="1">
      <alignment horizontal="center"/>
    </xf>
    <xf numFmtId="0" fontId="22" fillId="5" borderId="110" xfId="0" applyFont="1" applyFill="1" applyBorder="1" applyAlignment="1">
      <alignment horizontal="center"/>
    </xf>
    <xf numFmtId="0" fontId="21" fillId="0" borderId="61" xfId="0" applyFont="1" applyBorder="1" applyAlignment="1">
      <alignment horizontal="center" vertical="center" wrapText="1"/>
    </xf>
    <xf numFmtId="0" fontId="21" fillId="0" borderId="22" xfId="0" applyFont="1" applyBorder="1" applyAlignment="1">
      <alignment horizontal="center" vertical="center" wrapText="1"/>
    </xf>
    <xf numFmtId="0" fontId="21" fillId="0" borderId="23" xfId="0" applyFont="1" applyBorder="1" applyAlignment="1">
      <alignment horizontal="center" vertical="center" wrapText="1"/>
    </xf>
    <xf numFmtId="0" fontId="9" fillId="0" borderId="0" xfId="3" applyFont="1" applyFill="1"/>
    <xf numFmtId="184" fontId="21" fillId="12" borderId="11" xfId="0" applyNumberFormat="1" applyFont="1" applyFill="1" applyBorder="1" applyAlignment="1">
      <alignment horizontal="center" vertical="center"/>
    </xf>
    <xf numFmtId="184" fontId="21" fillId="12" borderId="26" xfId="0" applyNumberFormat="1" applyFont="1" applyFill="1" applyBorder="1" applyAlignment="1">
      <alignment horizontal="center" vertical="center"/>
    </xf>
    <xf numFmtId="9" fontId="22" fillId="0" borderId="0" xfId="1" applyFont="1" applyFill="1"/>
    <xf numFmtId="188" fontId="13" fillId="11" borderId="1" xfId="0" applyNumberFormat="1" applyFont="1" applyFill="1" applyBorder="1" applyAlignment="1">
      <alignment horizontal="center" vertical="center"/>
    </xf>
    <xf numFmtId="0" fontId="64" fillId="5" borderId="0" xfId="0" applyFont="1" applyFill="1" applyBorder="1" applyAlignment="1">
      <alignment horizontal="left"/>
    </xf>
    <xf numFmtId="188" fontId="8" fillId="11" borderId="1" xfId="0" applyNumberFormat="1" applyFont="1" applyFill="1" applyBorder="1" applyAlignment="1">
      <alignment horizontal="center" vertical="center"/>
    </xf>
    <xf numFmtId="188" fontId="1" fillId="4" borderId="12" xfId="0" applyNumberFormat="1" applyFont="1" applyFill="1" applyBorder="1" applyAlignment="1">
      <alignment horizontal="center" vertical="center"/>
    </xf>
    <xf numFmtId="188" fontId="6" fillId="16" borderId="1" xfId="0" applyNumberFormat="1" applyFont="1" applyFill="1" applyBorder="1" applyAlignment="1" applyProtection="1">
      <alignment horizontal="center" vertical="center" wrapText="1"/>
      <protection locked="0"/>
    </xf>
    <xf numFmtId="187" fontId="23" fillId="7" borderId="10" xfId="0" applyNumberFormat="1" applyFont="1" applyFill="1" applyBorder="1" applyAlignment="1">
      <alignment horizontal="center" vertical="center"/>
    </xf>
    <xf numFmtId="187" fontId="1" fillId="4" borderId="12" xfId="0" applyNumberFormat="1" applyFont="1" applyFill="1" applyBorder="1" applyAlignment="1">
      <alignment horizontal="center" vertical="center"/>
    </xf>
    <xf numFmtId="187" fontId="23" fillId="7" borderId="10" xfId="0" applyNumberFormat="1" applyFont="1" applyFill="1" applyBorder="1" applyAlignment="1">
      <alignment horizontal="center" vertical="center"/>
    </xf>
    <xf numFmtId="189" fontId="2" fillId="13" borderId="1" xfId="0" applyNumberFormat="1" applyFont="1" applyFill="1" applyBorder="1" applyAlignment="1">
      <alignment horizontal="center" vertical="center"/>
    </xf>
    <xf numFmtId="189" fontId="6" fillId="12" borderId="1" xfId="0" applyNumberFormat="1" applyFont="1" applyFill="1" applyBorder="1" applyAlignment="1">
      <alignment horizontal="center" vertical="center"/>
    </xf>
    <xf numFmtId="188" fontId="1" fillId="5" borderId="35" xfId="0" applyNumberFormat="1" applyFont="1" applyFill="1" applyBorder="1" applyAlignment="1" applyProtection="1">
      <alignment horizontal="center"/>
    </xf>
    <xf numFmtId="188" fontId="1" fillId="5" borderId="36" xfId="0" applyNumberFormat="1" applyFont="1" applyFill="1" applyBorder="1" applyAlignment="1" applyProtection="1">
      <alignment horizontal="center"/>
    </xf>
    <xf numFmtId="188" fontId="1" fillId="5" borderId="37" xfId="0" applyNumberFormat="1" applyFont="1" applyFill="1" applyBorder="1" applyAlignment="1" applyProtection="1">
      <alignment horizontal="center"/>
    </xf>
    <xf numFmtId="188" fontId="28" fillId="12" borderId="1" xfId="0" applyNumberFormat="1" applyFont="1" applyFill="1" applyBorder="1" applyAlignment="1" applyProtection="1">
      <alignment horizontal="center" vertical="center" wrapText="1"/>
      <protection locked="0"/>
    </xf>
    <xf numFmtId="189" fontId="5" fillId="12" borderId="1" xfId="0" applyNumberFormat="1" applyFont="1" applyFill="1" applyBorder="1" applyAlignment="1">
      <alignment horizontal="center" vertical="center"/>
    </xf>
    <xf numFmtId="0" fontId="1" fillId="5" borderId="33" xfId="0" applyNumberFormat="1" applyFont="1" applyFill="1" applyBorder="1"/>
    <xf numFmtId="43" fontId="28" fillId="12" borderId="1" xfId="5" applyFont="1" applyFill="1" applyBorder="1" applyAlignment="1">
      <alignment horizontal="center" vertical="center" wrapText="1"/>
    </xf>
    <xf numFmtId="0" fontId="22" fillId="0" borderId="1" xfId="0" applyFont="1" applyBorder="1"/>
    <xf numFmtId="0" fontId="7" fillId="5" borderId="0" xfId="0" applyFont="1" applyFill="1"/>
    <xf numFmtId="0" fontId="3" fillId="5" borderId="8" xfId="0" applyFont="1" applyFill="1" applyBorder="1" applyAlignment="1">
      <alignment horizontal="left" vertical="center"/>
    </xf>
    <xf numFmtId="0" fontId="68" fillId="0" borderId="0" xfId="0" applyFont="1" applyFill="1"/>
    <xf numFmtId="0" fontId="31" fillId="0" borderId="0" xfId="0" applyFont="1" applyFill="1"/>
    <xf numFmtId="0" fontId="69" fillId="0" borderId="0" xfId="0" applyFont="1" applyFill="1"/>
    <xf numFmtId="0" fontId="71" fillId="0" borderId="0" xfId="0" applyFont="1"/>
    <xf numFmtId="0" fontId="72" fillId="0" borderId="0" xfId="0" applyFont="1" applyAlignment="1">
      <alignment horizontal="justify" vertical="center"/>
    </xf>
    <xf numFmtId="0" fontId="22" fillId="0" borderId="2" xfId="0" applyFont="1" applyBorder="1" applyAlignment="1">
      <alignment horizontal="center" vertical="center"/>
    </xf>
    <xf numFmtId="0" fontId="22" fillId="0" borderId="7" xfId="0" applyFont="1" applyBorder="1" applyAlignment="1">
      <alignment horizontal="center" vertical="center"/>
    </xf>
    <xf numFmtId="0" fontId="21" fillId="13" borderId="1" xfId="0" applyFont="1" applyFill="1" applyBorder="1" applyAlignment="1">
      <alignment horizontal="left" vertical="center"/>
    </xf>
    <xf numFmtId="0" fontId="0" fillId="0" borderId="0" xfId="0" applyProtection="1">
      <protection locked="0"/>
    </xf>
    <xf numFmtId="0" fontId="1" fillId="0" borderId="0" xfId="0" applyFont="1" applyProtection="1">
      <protection locked="0"/>
    </xf>
    <xf numFmtId="0" fontId="7" fillId="4" borderId="2" xfId="0" applyFont="1" applyFill="1" applyBorder="1" applyAlignment="1" applyProtection="1">
      <alignment vertical="center"/>
      <protection locked="0"/>
    </xf>
    <xf numFmtId="0" fontId="7" fillId="4" borderId="5" xfId="0" applyFont="1" applyFill="1" applyBorder="1" applyAlignment="1" applyProtection="1">
      <alignment vertical="center"/>
      <protection locked="0"/>
    </xf>
    <xf numFmtId="0" fontId="7" fillId="4" borderId="7" xfId="0" applyFont="1" applyFill="1" applyBorder="1" applyAlignment="1" applyProtection="1">
      <alignment vertical="center"/>
      <protection locked="0"/>
    </xf>
    <xf numFmtId="0" fontId="0" fillId="0" borderId="0" xfId="0" applyAlignment="1" applyProtection="1">
      <alignment horizontal="left"/>
      <protection locked="0"/>
    </xf>
    <xf numFmtId="0" fontId="7" fillId="4" borderId="3" xfId="0" applyFont="1" applyFill="1" applyBorder="1" applyAlignment="1" applyProtection="1">
      <alignment vertical="center"/>
      <protection locked="0"/>
    </xf>
    <xf numFmtId="0" fontId="7" fillId="4" borderId="0" xfId="0" applyFont="1" applyFill="1" applyBorder="1" applyAlignment="1" applyProtection="1">
      <alignment vertical="center"/>
      <protection locked="0"/>
    </xf>
    <xf numFmtId="0" fontId="7" fillId="4" borderId="8" xfId="0" applyFont="1" applyFill="1" applyBorder="1" applyAlignment="1" applyProtection="1">
      <alignment vertical="center"/>
      <protection locked="0"/>
    </xf>
    <xf numFmtId="0" fontId="7" fillId="4" borderId="4" xfId="0" applyFont="1" applyFill="1" applyBorder="1" applyAlignment="1" applyProtection="1">
      <alignment vertical="center"/>
      <protection locked="0"/>
    </xf>
    <xf numFmtId="0" fontId="7" fillId="4" borderId="6" xfId="0" applyFont="1" applyFill="1" applyBorder="1" applyAlignment="1" applyProtection="1">
      <alignment vertical="center"/>
      <protection locked="0"/>
    </xf>
    <xf numFmtId="0" fontId="7" fillId="4" borderId="9" xfId="0" applyFont="1" applyFill="1" applyBorder="1" applyAlignment="1" applyProtection="1">
      <alignment vertical="center"/>
      <protection locked="0"/>
    </xf>
    <xf numFmtId="0" fontId="0" fillId="0" borderId="20" xfId="0" applyBorder="1" applyProtection="1">
      <protection locked="0"/>
    </xf>
    <xf numFmtId="0" fontId="0" fillId="0" borderId="20" xfId="0" applyBorder="1" applyAlignment="1" applyProtection="1">
      <alignment horizontal="center"/>
      <protection locked="0"/>
    </xf>
    <xf numFmtId="0" fontId="0" fillId="5" borderId="14" xfId="0" applyFill="1" applyBorder="1" applyProtection="1">
      <protection locked="0"/>
    </xf>
    <xf numFmtId="0" fontId="0" fillId="5" borderId="5" xfId="0" applyFill="1" applyBorder="1" applyProtection="1">
      <protection locked="0"/>
    </xf>
    <xf numFmtId="0" fontId="0" fillId="5" borderId="7" xfId="0" applyFill="1" applyBorder="1" applyProtection="1">
      <protection locked="0"/>
    </xf>
    <xf numFmtId="0" fontId="6" fillId="4" borderId="6" xfId="0" applyFont="1" applyFill="1" applyBorder="1" applyAlignment="1" applyProtection="1">
      <alignment horizontal="center" vertical="center" wrapText="1"/>
      <protection locked="0"/>
    </xf>
    <xf numFmtId="0" fontId="0" fillId="5" borderId="0" xfId="0" applyFont="1" applyFill="1" applyBorder="1" applyProtection="1">
      <protection locked="0"/>
    </xf>
    <xf numFmtId="0" fontId="0" fillId="5" borderId="8" xfId="0" applyFill="1" applyBorder="1" applyProtection="1">
      <protection locked="0"/>
    </xf>
    <xf numFmtId="0" fontId="0" fillId="5" borderId="0" xfId="0" applyFill="1" applyBorder="1" applyProtection="1">
      <protection locked="0"/>
    </xf>
    <xf numFmtId="0" fontId="63" fillId="5" borderId="8" xfId="0" applyFont="1" applyFill="1" applyBorder="1" applyProtection="1">
      <protection locked="0"/>
    </xf>
    <xf numFmtId="0" fontId="6" fillId="6" borderId="1" xfId="0" applyFont="1" applyFill="1" applyBorder="1" applyAlignment="1" applyProtection="1">
      <alignment horizontal="center" vertical="center" wrapText="1"/>
      <protection locked="0"/>
    </xf>
    <xf numFmtId="0" fontId="47" fillId="5" borderId="8" xfId="0" applyFont="1" applyFill="1" applyBorder="1" applyAlignment="1" applyProtection="1">
      <alignment horizontal="center" vertical="center"/>
      <protection locked="0"/>
    </xf>
    <xf numFmtId="0" fontId="0" fillId="0" borderId="0" xfId="0" quotePrefix="1" applyFill="1" applyProtection="1">
      <protection locked="0"/>
    </xf>
    <xf numFmtId="0" fontId="0" fillId="0" borderId="0" xfId="0" applyFill="1" applyProtection="1">
      <protection locked="0"/>
    </xf>
    <xf numFmtId="0" fontId="0" fillId="0" borderId="0" xfId="0" applyAlignment="1" applyProtection="1">
      <alignment horizontal="center" vertical="center"/>
      <protection locked="0"/>
    </xf>
    <xf numFmtId="0" fontId="0" fillId="5" borderId="4" xfId="0" applyFill="1" applyBorder="1" applyProtection="1">
      <protection locked="0"/>
    </xf>
    <xf numFmtId="0" fontId="0" fillId="5" borderId="6" xfId="0" applyFill="1" applyBorder="1" applyProtection="1">
      <protection locked="0"/>
    </xf>
    <xf numFmtId="0" fontId="0" fillId="5" borderId="9" xfId="0" applyFill="1" applyBorder="1" applyProtection="1">
      <protection locked="0"/>
    </xf>
    <xf numFmtId="0" fontId="22" fillId="5" borderId="2" xfId="0" applyFont="1" applyFill="1" applyBorder="1" applyProtection="1">
      <protection locked="0"/>
    </xf>
    <xf numFmtId="0" fontId="22" fillId="5" borderId="5" xfId="0" applyFont="1" applyFill="1" applyBorder="1" applyProtection="1">
      <protection locked="0"/>
    </xf>
    <xf numFmtId="0" fontId="22" fillId="5" borderId="7" xfId="0" applyFont="1" applyFill="1" applyBorder="1" applyProtection="1">
      <protection locked="0"/>
    </xf>
    <xf numFmtId="0" fontId="22" fillId="5" borderId="3" xfId="0" applyFont="1" applyFill="1" applyBorder="1" applyProtection="1">
      <protection locked="0"/>
    </xf>
    <xf numFmtId="0" fontId="22" fillId="5" borderId="8" xfId="0" applyFont="1" applyFill="1" applyBorder="1" applyProtection="1">
      <protection locked="0"/>
    </xf>
    <xf numFmtId="0" fontId="22" fillId="5" borderId="4" xfId="0" applyFont="1" applyFill="1" applyBorder="1" applyProtection="1">
      <protection locked="0"/>
    </xf>
    <xf numFmtId="0" fontId="22" fillId="5" borderId="6" xfId="0" applyFont="1" applyFill="1" applyBorder="1" applyProtection="1">
      <protection locked="0"/>
    </xf>
    <xf numFmtId="0" fontId="22" fillId="5" borderId="9" xfId="0" applyFont="1" applyFill="1" applyBorder="1" applyProtection="1">
      <protection locked="0"/>
    </xf>
    <xf numFmtId="0" fontId="3" fillId="4" borderId="0" xfId="0" applyFont="1" applyFill="1" applyBorder="1" applyAlignment="1" applyProtection="1">
      <alignment vertical="center"/>
    </xf>
    <xf numFmtId="0" fontId="7" fillId="4" borderId="0" xfId="0" applyFont="1" applyFill="1" applyBorder="1" applyAlignment="1" applyProtection="1">
      <alignment vertical="center"/>
    </xf>
    <xf numFmtId="0" fontId="0" fillId="5" borderId="2" xfId="0" applyFill="1" applyBorder="1" applyProtection="1"/>
    <xf numFmtId="0" fontId="0" fillId="5" borderId="14" xfId="0" applyFill="1" applyBorder="1" applyProtection="1"/>
    <xf numFmtId="0" fontId="0" fillId="5" borderId="5" xfId="0" applyFill="1" applyBorder="1" applyProtection="1"/>
    <xf numFmtId="0" fontId="0" fillId="5" borderId="3" xfId="0" applyFill="1" applyBorder="1" applyProtection="1"/>
    <xf numFmtId="0" fontId="6" fillId="4" borderId="6" xfId="0" applyFont="1" applyFill="1" applyBorder="1" applyAlignment="1" applyProtection="1">
      <alignment horizontal="center" vertical="center" wrapText="1"/>
    </xf>
    <xf numFmtId="0" fontId="0" fillId="5" borderId="0" xfId="0" applyFont="1" applyFill="1" applyBorder="1" applyProtection="1"/>
    <xf numFmtId="0" fontId="0" fillId="5" borderId="0" xfId="0" applyFill="1" applyBorder="1" applyProtection="1"/>
    <xf numFmtId="0" fontId="6" fillId="3" borderId="1" xfId="0" applyFont="1" applyFill="1" applyBorder="1" applyAlignment="1" applyProtection="1">
      <alignment horizontal="center" vertical="center" wrapText="1"/>
    </xf>
    <xf numFmtId="0" fontId="3" fillId="5" borderId="0" xfId="4" applyFont="1" applyFill="1" applyAlignment="1">
      <alignment horizontal="left" vertical="center"/>
    </xf>
    <xf numFmtId="0" fontId="1" fillId="5" borderId="0" xfId="4" applyFont="1" applyFill="1" applyAlignment="1">
      <alignment horizontal="left" vertical="center"/>
    </xf>
    <xf numFmtId="0" fontId="24" fillId="5" borderId="0" xfId="0" applyFont="1" applyFill="1" applyBorder="1" applyAlignment="1">
      <alignment horizontal="center" vertical="center" wrapText="1"/>
    </xf>
    <xf numFmtId="0" fontId="10" fillId="13" borderId="13" xfId="3" applyFont="1" applyFill="1" applyBorder="1" applyAlignment="1">
      <alignment horizontal="center" vertical="center"/>
    </xf>
    <xf numFmtId="0" fontId="19" fillId="13" borderId="14" xfId="3" applyFont="1" applyFill="1" applyBorder="1" applyAlignment="1">
      <alignment horizontal="center" vertical="center"/>
    </xf>
    <xf numFmtId="0" fontId="19" fillId="13" borderId="10" xfId="3" applyFont="1" applyFill="1" applyBorder="1" applyAlignment="1">
      <alignment horizontal="center" vertical="center"/>
    </xf>
    <xf numFmtId="0" fontId="12" fillId="13" borderId="28" xfId="3" applyFont="1" applyFill="1" applyBorder="1" applyAlignment="1">
      <alignment horizontal="center" vertical="center"/>
    </xf>
    <xf numFmtId="0" fontId="12" fillId="13" borderId="27" xfId="3" applyFont="1" applyFill="1" applyBorder="1" applyAlignment="1">
      <alignment horizontal="center" vertical="center"/>
    </xf>
    <xf numFmtId="0" fontId="6" fillId="13" borderId="13" xfId="3" applyFont="1" applyFill="1" applyBorder="1" applyAlignment="1">
      <alignment horizontal="center" vertical="center" wrapText="1"/>
    </xf>
    <xf numFmtId="0" fontId="6" fillId="13" borderId="10" xfId="3" applyFont="1" applyFill="1" applyBorder="1" applyAlignment="1">
      <alignment horizontal="center" vertical="center" wrapText="1"/>
    </xf>
    <xf numFmtId="187" fontId="6" fillId="5" borderId="13" xfId="3" applyNumberFormat="1" applyFont="1" applyFill="1" applyBorder="1" applyAlignment="1">
      <alignment horizontal="center" vertical="center"/>
    </xf>
    <xf numFmtId="187" fontId="6" fillId="5" borderId="10" xfId="3" applyNumberFormat="1" applyFont="1" applyFill="1" applyBorder="1" applyAlignment="1">
      <alignment horizontal="center" vertical="center"/>
    </xf>
    <xf numFmtId="0" fontId="6" fillId="6" borderId="13" xfId="0" applyFont="1" applyFill="1" applyBorder="1" applyAlignment="1" applyProtection="1">
      <alignment horizontal="center" vertical="center"/>
      <protection locked="0"/>
    </xf>
    <xf numFmtId="0" fontId="6" fillId="6" borderId="14" xfId="0" applyFont="1" applyFill="1" applyBorder="1" applyAlignment="1" applyProtection="1">
      <alignment horizontal="center" vertical="center"/>
      <protection locked="0"/>
    </xf>
    <xf numFmtId="0" fontId="6" fillId="6" borderId="60" xfId="0" applyFont="1" applyFill="1" applyBorder="1" applyAlignment="1" applyProtection="1">
      <alignment horizontal="center" vertical="center"/>
      <protection locked="0"/>
    </xf>
    <xf numFmtId="0" fontId="3" fillId="4" borderId="0" xfId="0" applyFont="1" applyFill="1" applyBorder="1" applyAlignment="1">
      <alignment horizontal="left" vertical="center"/>
    </xf>
    <xf numFmtId="0" fontId="3" fillId="4" borderId="8" xfId="0" applyFont="1" applyFill="1" applyBorder="1" applyAlignment="1">
      <alignment horizontal="left" vertical="center"/>
    </xf>
    <xf numFmtId="0" fontId="3" fillId="4" borderId="0" xfId="0" applyFont="1" applyFill="1" applyAlignment="1">
      <alignment horizontal="left" vertical="center"/>
    </xf>
    <xf numFmtId="0" fontId="2" fillId="13" borderId="13" xfId="0" applyFont="1" applyFill="1" applyBorder="1" applyAlignment="1">
      <alignment horizontal="left" vertical="center"/>
    </xf>
    <xf numFmtId="0" fontId="2" fillId="13" borderId="10" xfId="0" applyFont="1" applyFill="1" applyBorder="1" applyAlignment="1">
      <alignment horizontal="left" vertical="center"/>
    </xf>
    <xf numFmtId="1" fontId="15" fillId="6" borderId="28" xfId="0" applyNumberFormat="1" applyFont="1" applyFill="1" applyBorder="1" applyAlignment="1" applyProtection="1">
      <alignment horizontal="center" vertical="center"/>
      <protection locked="0"/>
    </xf>
    <xf numFmtId="1" fontId="15" fillId="6" borderId="27" xfId="0" applyNumberFormat="1" applyFont="1" applyFill="1" applyBorder="1" applyAlignment="1" applyProtection="1">
      <alignment horizontal="center" vertical="center"/>
      <protection locked="0"/>
    </xf>
    <xf numFmtId="1" fontId="15" fillId="6" borderId="26" xfId="0" applyNumberFormat="1" applyFont="1" applyFill="1" applyBorder="1" applyAlignment="1" applyProtection="1">
      <alignment horizontal="center" vertical="center"/>
      <protection locked="0"/>
    </xf>
    <xf numFmtId="0" fontId="2" fillId="14" borderId="28" xfId="0" applyFont="1" applyFill="1" applyBorder="1" applyAlignment="1">
      <alignment horizontal="center" vertical="center" wrapText="1"/>
    </xf>
    <xf numFmtId="0" fontId="2" fillId="14" borderId="27" xfId="0" applyFont="1" applyFill="1" applyBorder="1" applyAlignment="1">
      <alignment horizontal="center" vertical="center" wrapText="1"/>
    </xf>
    <xf numFmtId="0" fontId="2" fillId="14" borderId="26" xfId="0" applyFont="1" applyFill="1" applyBorder="1" applyAlignment="1">
      <alignment horizontal="center" vertical="center" wrapText="1"/>
    </xf>
    <xf numFmtId="0" fontId="24" fillId="5" borderId="0" xfId="0" applyFont="1" applyFill="1" applyBorder="1" applyAlignment="1" applyProtection="1">
      <alignment horizontal="center" vertical="center" wrapText="1"/>
    </xf>
    <xf numFmtId="188" fontId="8" fillId="7" borderId="28" xfId="0" applyNumberFormat="1" applyFont="1" applyFill="1" applyBorder="1" applyAlignment="1">
      <alignment horizontal="center" vertical="center"/>
    </xf>
    <xf numFmtId="188" fontId="8" fillId="7" borderId="27" xfId="0" applyNumberFormat="1" applyFont="1" applyFill="1" applyBorder="1" applyAlignment="1">
      <alignment horizontal="center" vertical="center"/>
    </xf>
    <xf numFmtId="188" fontId="8" fillId="7" borderId="26" xfId="0" applyNumberFormat="1" applyFont="1" applyFill="1" applyBorder="1" applyAlignment="1">
      <alignment horizontal="center" vertical="center"/>
    </xf>
    <xf numFmtId="0" fontId="7" fillId="4" borderId="0" xfId="0" applyFont="1" applyFill="1" applyAlignment="1">
      <alignment horizontal="left" vertical="center"/>
    </xf>
    <xf numFmtId="0" fontId="21" fillId="5" borderId="41" xfId="0" applyFont="1" applyFill="1" applyBorder="1" applyAlignment="1">
      <alignment horizontal="center" vertical="center"/>
    </xf>
    <xf numFmtId="0" fontId="21" fillId="5" borderId="42" xfId="0" applyFont="1" applyFill="1" applyBorder="1" applyAlignment="1">
      <alignment horizontal="center" vertical="center"/>
    </xf>
    <xf numFmtId="0" fontId="21" fillId="5" borderId="45" xfId="0" applyFont="1" applyFill="1" applyBorder="1" applyAlignment="1">
      <alignment horizontal="center" vertical="center"/>
    </xf>
    <xf numFmtId="180" fontId="2" fillId="3" borderId="13" xfId="0" applyNumberFormat="1" applyFont="1" applyFill="1" applyBorder="1" applyAlignment="1">
      <alignment horizontal="center" vertical="center" wrapText="1"/>
    </xf>
    <xf numFmtId="0" fontId="2" fillId="3" borderId="14" xfId="0" applyNumberFormat="1" applyFont="1" applyFill="1" applyBorder="1" applyAlignment="1">
      <alignment horizontal="center" vertical="center" wrapText="1"/>
    </xf>
    <xf numFmtId="0" fontId="2" fillId="3" borderId="10" xfId="0" applyNumberFormat="1" applyFont="1" applyFill="1" applyBorder="1" applyAlignment="1">
      <alignment horizontal="center" vertical="center" wrapText="1"/>
    </xf>
    <xf numFmtId="188" fontId="8" fillId="11" borderId="28" xfId="0" applyNumberFormat="1" applyFont="1" applyFill="1" applyBorder="1" applyAlignment="1">
      <alignment horizontal="center" vertical="center"/>
    </xf>
    <xf numFmtId="188" fontId="8" fillId="11" borderId="27" xfId="0" applyNumberFormat="1" applyFont="1" applyFill="1" applyBorder="1" applyAlignment="1">
      <alignment horizontal="center" vertical="center"/>
    </xf>
    <xf numFmtId="188" fontId="8" fillId="11" borderId="26" xfId="0" applyNumberFormat="1" applyFont="1" applyFill="1" applyBorder="1" applyAlignment="1">
      <alignment horizontal="center" vertical="center"/>
    </xf>
    <xf numFmtId="9" fontId="2" fillId="3" borderId="13" xfId="1" applyFont="1" applyFill="1" applyBorder="1" applyAlignment="1">
      <alignment horizontal="center" vertical="center" wrapText="1"/>
    </xf>
    <xf numFmtId="9" fontId="2" fillId="3" borderId="14" xfId="1" applyFont="1" applyFill="1" applyBorder="1" applyAlignment="1">
      <alignment horizontal="center" vertical="center" wrapText="1"/>
    </xf>
    <xf numFmtId="9" fontId="2" fillId="3" borderId="10" xfId="1" applyFont="1" applyFill="1" applyBorder="1" applyAlignment="1">
      <alignment horizontal="center" vertical="center" wrapText="1"/>
    </xf>
    <xf numFmtId="0" fontId="31" fillId="10" borderId="13" xfId="0" applyFont="1" applyFill="1" applyBorder="1" applyAlignment="1">
      <alignment horizontal="center"/>
    </xf>
    <xf numFmtId="0" fontId="31" fillId="10" borderId="14" xfId="0" applyFont="1" applyFill="1" applyBorder="1" applyAlignment="1">
      <alignment horizontal="center"/>
    </xf>
    <xf numFmtId="0" fontId="31" fillId="10" borderId="10" xfId="0" applyFont="1" applyFill="1" applyBorder="1" applyAlignment="1">
      <alignment horizontal="center"/>
    </xf>
    <xf numFmtId="0" fontId="21" fillId="5" borderId="57" xfId="0" applyFont="1" applyFill="1" applyBorder="1" applyAlignment="1">
      <alignment horizontal="center" vertical="center"/>
    </xf>
    <xf numFmtId="0" fontId="21" fillId="5" borderId="58" xfId="0" applyFont="1" applyFill="1" applyBorder="1" applyAlignment="1">
      <alignment horizontal="center" vertical="center"/>
    </xf>
    <xf numFmtId="0" fontId="21" fillId="5" borderId="59" xfId="0" applyFont="1" applyFill="1" applyBorder="1" applyAlignment="1">
      <alignment horizontal="center" vertical="center"/>
    </xf>
    <xf numFmtId="0" fontId="2" fillId="3" borderId="13" xfId="0" applyFont="1" applyFill="1" applyBorder="1" applyAlignment="1">
      <alignment horizontal="center" vertical="center" wrapText="1"/>
    </xf>
    <xf numFmtId="0" fontId="2" fillId="3" borderId="14" xfId="0" applyFont="1" applyFill="1" applyBorder="1" applyAlignment="1">
      <alignment horizontal="center" vertical="center" wrapText="1"/>
    </xf>
    <xf numFmtId="0" fontId="2" fillId="3" borderId="10" xfId="0" applyFont="1" applyFill="1" applyBorder="1" applyAlignment="1">
      <alignment horizontal="center" vertical="center" wrapText="1"/>
    </xf>
    <xf numFmtId="9" fontId="6" fillId="11" borderId="28" xfId="1" applyFont="1" applyFill="1" applyBorder="1" applyAlignment="1">
      <alignment horizontal="center" vertical="center"/>
    </xf>
    <xf numFmtId="9" fontId="6" fillId="11" borderId="26" xfId="1" applyFont="1" applyFill="1" applyBorder="1" applyAlignment="1">
      <alignment horizontal="center" vertical="center"/>
    </xf>
    <xf numFmtId="0" fontId="40" fillId="5" borderId="3" xfId="0" applyFont="1" applyFill="1" applyBorder="1" applyAlignment="1">
      <alignment horizontal="center" vertical="center"/>
    </xf>
    <xf numFmtId="188" fontId="6" fillId="11" borderId="28" xfId="0" applyNumberFormat="1" applyFont="1" applyFill="1" applyBorder="1" applyAlignment="1">
      <alignment horizontal="center" vertical="center"/>
    </xf>
    <xf numFmtId="188" fontId="6" fillId="11" borderId="26" xfId="0" applyNumberFormat="1" applyFont="1" applyFill="1" applyBorder="1" applyAlignment="1">
      <alignment horizontal="center" vertical="center"/>
    </xf>
    <xf numFmtId="0" fontId="40" fillId="13" borderId="13" xfId="0" applyFont="1" applyFill="1" applyBorder="1" applyAlignment="1">
      <alignment horizontal="center" vertical="center" wrapText="1"/>
    </xf>
    <xf numFmtId="0" fontId="40" fillId="13" borderId="14" xfId="0" applyFont="1" applyFill="1" applyBorder="1" applyAlignment="1">
      <alignment horizontal="center" vertical="center" wrapText="1"/>
    </xf>
    <xf numFmtId="0" fontId="40" fillId="13" borderId="10" xfId="0" applyFont="1" applyFill="1" applyBorder="1" applyAlignment="1">
      <alignment horizontal="center" vertical="center" wrapText="1"/>
    </xf>
    <xf numFmtId="186" fontId="2" fillId="6" borderId="13" xfId="0" applyNumberFormat="1" applyFont="1" applyFill="1" applyBorder="1" applyAlignment="1" applyProtection="1">
      <alignment horizontal="center" vertical="center"/>
      <protection locked="0"/>
    </xf>
    <xf numFmtId="186" fontId="2" fillId="6" borderId="14" xfId="0" applyNumberFormat="1" applyFont="1" applyFill="1" applyBorder="1" applyAlignment="1" applyProtection="1">
      <alignment horizontal="center" vertical="center"/>
      <protection locked="0"/>
    </xf>
    <xf numFmtId="186" fontId="2" fillId="6" borderId="10" xfId="0" applyNumberFormat="1" applyFont="1" applyFill="1" applyBorder="1" applyAlignment="1" applyProtection="1">
      <alignment horizontal="center" vertical="center"/>
      <protection locked="0"/>
    </xf>
    <xf numFmtId="0" fontId="2" fillId="14" borderId="13" xfId="0" applyFont="1" applyFill="1" applyBorder="1" applyAlignment="1">
      <alignment horizontal="left" vertical="center" wrapText="1"/>
    </xf>
    <xf numFmtId="0" fontId="2" fillId="14" borderId="14" xfId="0" applyFont="1" applyFill="1" applyBorder="1" applyAlignment="1">
      <alignment horizontal="left" vertical="center" wrapText="1"/>
    </xf>
    <xf numFmtId="0" fontId="2" fillId="14" borderId="10" xfId="0" applyFont="1" applyFill="1" applyBorder="1" applyAlignment="1">
      <alignment horizontal="left" vertical="center" wrapText="1"/>
    </xf>
    <xf numFmtId="0" fontId="7" fillId="4" borderId="0" xfId="0" applyFont="1" applyFill="1" applyBorder="1" applyAlignment="1">
      <alignment horizontal="left" vertical="center"/>
    </xf>
    <xf numFmtId="187" fontId="8" fillId="7" borderId="2" xfId="0" applyNumberFormat="1" applyFont="1" applyFill="1" applyBorder="1" applyAlignment="1">
      <alignment horizontal="center" vertical="center"/>
    </xf>
    <xf numFmtId="187" fontId="8" fillId="7" borderId="5" xfId="0" applyNumberFormat="1" applyFont="1" applyFill="1" applyBorder="1" applyAlignment="1">
      <alignment horizontal="center" vertical="center"/>
    </xf>
    <xf numFmtId="187" fontId="8" fillId="7" borderId="7" xfId="0" applyNumberFormat="1" applyFont="1" applyFill="1" applyBorder="1" applyAlignment="1">
      <alignment horizontal="center" vertical="center"/>
    </xf>
    <xf numFmtId="187" fontId="8" fillId="7" borderId="4" xfId="0" applyNumberFormat="1" applyFont="1" applyFill="1" applyBorder="1" applyAlignment="1">
      <alignment horizontal="center" vertical="center"/>
    </xf>
    <xf numFmtId="187" fontId="8" fillId="7" borderId="6" xfId="0" applyNumberFormat="1" applyFont="1" applyFill="1" applyBorder="1" applyAlignment="1">
      <alignment horizontal="center" vertical="center"/>
    </xf>
    <xf numFmtId="187" fontId="8" fillId="7" borderId="9" xfId="0" applyNumberFormat="1" applyFont="1" applyFill="1" applyBorder="1" applyAlignment="1">
      <alignment horizontal="center" vertical="center"/>
    </xf>
    <xf numFmtId="49" fontId="23" fillId="7" borderId="13" xfId="0" applyNumberFormat="1" applyFont="1" applyFill="1" applyBorder="1" applyAlignment="1">
      <alignment horizontal="center" vertical="center"/>
    </xf>
    <xf numFmtId="49" fontId="23" fillId="7" borderId="10" xfId="0" applyNumberFormat="1" applyFont="1" applyFill="1" applyBorder="1" applyAlignment="1">
      <alignment horizontal="center" vertical="center"/>
    </xf>
    <xf numFmtId="187" fontId="23" fillId="7" borderId="13" xfId="0" applyNumberFormat="1" applyFont="1" applyFill="1" applyBorder="1" applyAlignment="1">
      <alignment horizontal="center" vertical="center"/>
    </xf>
    <xf numFmtId="187" fontId="23" fillId="7" borderId="10" xfId="0" applyNumberFormat="1" applyFont="1" applyFill="1" applyBorder="1" applyAlignment="1">
      <alignment horizontal="center" vertical="center"/>
    </xf>
    <xf numFmtId="0" fontId="6" fillId="4" borderId="13" xfId="0" applyFont="1" applyFill="1" applyBorder="1" applyAlignment="1">
      <alignment horizontal="center" vertical="center" wrapText="1"/>
    </xf>
    <xf numFmtId="0" fontId="6" fillId="4" borderId="10" xfId="0" applyFont="1" applyFill="1" applyBorder="1" applyAlignment="1">
      <alignment horizontal="center" vertical="center" wrapText="1"/>
    </xf>
    <xf numFmtId="0" fontId="7" fillId="4" borderId="2" xfId="0" applyFont="1" applyFill="1" applyBorder="1" applyAlignment="1">
      <alignment horizontal="left" vertical="center"/>
    </xf>
    <xf numFmtId="0" fontId="7" fillId="4" borderId="5" xfId="0" applyFont="1" applyFill="1" applyBorder="1" applyAlignment="1">
      <alignment horizontal="left" vertical="center"/>
    </xf>
    <xf numFmtId="0" fontId="7" fillId="4" borderId="7" xfId="0" applyFont="1" applyFill="1" applyBorder="1" applyAlignment="1">
      <alignment horizontal="left" vertical="center"/>
    </xf>
    <xf numFmtId="0" fontId="7" fillId="4" borderId="3" xfId="0" applyFont="1" applyFill="1" applyBorder="1" applyAlignment="1">
      <alignment horizontal="left" vertical="center"/>
    </xf>
    <xf numFmtId="0" fontId="7" fillId="4" borderId="8" xfId="0" applyFont="1" applyFill="1" applyBorder="1" applyAlignment="1">
      <alignment horizontal="left" vertical="center"/>
    </xf>
    <xf numFmtId="0" fontId="7" fillId="4" borderId="4" xfId="0" applyFont="1" applyFill="1" applyBorder="1" applyAlignment="1">
      <alignment horizontal="left" vertical="center"/>
    </xf>
    <xf numFmtId="0" fontId="7" fillId="4" borderId="6" xfId="0" applyFont="1" applyFill="1" applyBorder="1" applyAlignment="1">
      <alignment horizontal="left" vertical="center"/>
    </xf>
    <xf numFmtId="0" fontId="7" fillId="4" borderId="9" xfId="0" applyFont="1" applyFill="1" applyBorder="1" applyAlignment="1">
      <alignment horizontal="left" vertical="center"/>
    </xf>
    <xf numFmtId="0" fontId="1" fillId="5" borderId="45" xfId="0" applyFont="1" applyFill="1" applyBorder="1" applyAlignment="1">
      <alignment horizontal="center"/>
    </xf>
    <xf numFmtId="0" fontId="1" fillId="5" borderId="10" xfId="0" applyFont="1" applyFill="1" applyBorder="1" applyAlignment="1">
      <alignment horizontal="center"/>
    </xf>
    <xf numFmtId="0" fontId="6" fillId="13" borderId="14" xfId="0" applyFont="1" applyFill="1" applyBorder="1" applyAlignment="1">
      <alignment horizontal="center" vertical="center"/>
    </xf>
    <xf numFmtId="0" fontId="6" fillId="13" borderId="10" xfId="0" applyFont="1" applyFill="1" applyBorder="1" applyAlignment="1">
      <alignment horizontal="center" vertical="center"/>
    </xf>
    <xf numFmtId="182" fontId="1" fillId="6" borderId="14" xfId="0" applyNumberFormat="1" applyFont="1" applyFill="1" applyBorder="1" applyAlignment="1" applyProtection="1">
      <alignment horizontal="left" vertical="center" wrapText="1"/>
      <protection locked="0"/>
    </xf>
    <xf numFmtId="182" fontId="1" fillId="6" borderId="10" xfId="0" applyNumberFormat="1" applyFont="1" applyFill="1" applyBorder="1" applyAlignment="1" applyProtection="1">
      <alignment horizontal="left" vertical="center" wrapText="1"/>
      <protection locked="0"/>
    </xf>
    <xf numFmtId="0" fontId="36" fillId="5" borderId="3" xfId="0" applyFont="1" applyFill="1" applyBorder="1" applyAlignment="1">
      <alignment horizontal="center" vertical="center"/>
    </xf>
    <xf numFmtId="0" fontId="24" fillId="5" borderId="2" xfId="0" applyFont="1" applyFill="1" applyBorder="1" applyAlignment="1">
      <alignment horizontal="center" vertical="center"/>
    </xf>
    <xf numFmtId="0" fontId="24" fillId="5" borderId="5" xfId="0" applyFont="1" applyFill="1" applyBorder="1" applyAlignment="1">
      <alignment horizontal="center" vertical="center"/>
    </xf>
    <xf numFmtId="0" fontId="24" fillId="5" borderId="7" xfId="0" applyFont="1" applyFill="1" applyBorder="1" applyAlignment="1">
      <alignment horizontal="center" vertical="center"/>
    </xf>
    <xf numFmtId="0" fontId="24" fillId="5" borderId="4" xfId="0" applyFont="1" applyFill="1" applyBorder="1" applyAlignment="1">
      <alignment horizontal="center" vertical="center"/>
    </xf>
    <xf numFmtId="0" fontId="24" fillId="5" borderId="6" xfId="0" applyFont="1" applyFill="1" applyBorder="1" applyAlignment="1">
      <alignment horizontal="center" vertical="center"/>
    </xf>
    <xf numFmtId="0" fontId="24" fillId="5" borderId="9" xfId="0" applyFont="1" applyFill="1" applyBorder="1" applyAlignment="1">
      <alignment horizontal="center" vertical="center"/>
    </xf>
    <xf numFmtId="0" fontId="24" fillId="5" borderId="0" xfId="0" applyFont="1" applyFill="1" applyBorder="1" applyAlignment="1">
      <alignment horizontal="left"/>
    </xf>
    <xf numFmtId="0" fontId="21" fillId="13" borderId="14" xfId="0" applyFont="1" applyFill="1" applyBorder="1" applyAlignment="1">
      <alignment horizontal="left" vertical="center"/>
    </xf>
    <xf numFmtId="0" fontId="6" fillId="13" borderId="13" xfId="0" applyFont="1" applyFill="1" applyBorder="1" applyAlignment="1">
      <alignment horizontal="center" vertical="center" wrapText="1"/>
    </xf>
    <xf numFmtId="0" fontId="6" fillId="13" borderId="10" xfId="0" applyFont="1" applyFill="1" applyBorder="1" applyAlignment="1">
      <alignment horizontal="center" vertical="center" wrapText="1"/>
    </xf>
    <xf numFmtId="0" fontId="21" fillId="13" borderId="13" xfId="0" applyFont="1" applyFill="1" applyBorder="1" applyAlignment="1">
      <alignment horizontal="left" vertical="center"/>
    </xf>
    <xf numFmtId="0" fontId="40" fillId="5" borderId="2" xfId="0" applyFont="1" applyFill="1" applyBorder="1" applyAlignment="1">
      <alignment horizontal="left" vertical="top"/>
    </xf>
    <xf numFmtId="0" fontId="40" fillId="5" borderId="5" xfId="0" applyFont="1" applyFill="1" applyBorder="1" applyAlignment="1">
      <alignment horizontal="left" vertical="top"/>
    </xf>
    <xf numFmtId="0" fontId="40" fillId="5" borderId="3" xfId="0" applyFont="1" applyFill="1" applyBorder="1" applyAlignment="1">
      <alignment horizontal="left" vertical="top"/>
    </xf>
    <xf numFmtId="0" fontId="40" fillId="5" borderId="0" xfId="0" applyFont="1" applyFill="1" applyBorder="1" applyAlignment="1">
      <alignment horizontal="left" vertical="top"/>
    </xf>
    <xf numFmtId="0" fontId="40" fillId="5" borderId="4" xfId="0" applyFont="1" applyFill="1" applyBorder="1" applyAlignment="1">
      <alignment horizontal="left" vertical="top"/>
    </xf>
    <xf numFmtId="0" fontId="40" fillId="5" borderId="6" xfId="0" applyFont="1" applyFill="1" applyBorder="1" applyAlignment="1">
      <alignment horizontal="left" vertical="top"/>
    </xf>
    <xf numFmtId="0" fontId="22" fillId="5" borderId="5" xfId="0" applyFont="1" applyFill="1" applyBorder="1" applyAlignment="1">
      <alignment horizontal="left" vertical="top" wrapText="1"/>
    </xf>
    <xf numFmtId="0" fontId="22" fillId="5" borderId="7" xfId="0" applyFont="1" applyFill="1" applyBorder="1" applyAlignment="1">
      <alignment horizontal="left" vertical="top" wrapText="1"/>
    </xf>
    <xf numFmtId="0" fontId="22" fillId="5" borderId="0" xfId="0" applyFont="1" applyFill="1" applyBorder="1" applyAlignment="1">
      <alignment horizontal="left" vertical="top" wrapText="1"/>
    </xf>
    <xf numFmtId="0" fontId="22" fillId="5" borderId="8" xfId="0" applyFont="1" applyFill="1" applyBorder="1" applyAlignment="1">
      <alignment horizontal="left" vertical="top" wrapText="1"/>
    </xf>
    <xf numFmtId="0" fontId="22" fillId="5" borderId="6" xfId="0" applyFont="1" applyFill="1" applyBorder="1" applyAlignment="1">
      <alignment horizontal="left" vertical="top" wrapText="1"/>
    </xf>
    <xf numFmtId="0" fontId="22" fillId="5" borderId="9" xfId="0" applyFont="1" applyFill="1" applyBorder="1" applyAlignment="1">
      <alignment horizontal="left" vertical="top" wrapText="1"/>
    </xf>
    <xf numFmtId="0" fontId="1" fillId="13" borderId="2" xfId="0" applyFont="1" applyFill="1" applyBorder="1" applyAlignment="1">
      <alignment horizontal="left"/>
    </xf>
    <xf numFmtId="0" fontId="1" fillId="13" borderId="5" xfId="0" applyFont="1" applyFill="1" applyBorder="1" applyAlignment="1">
      <alignment horizontal="left"/>
    </xf>
    <xf numFmtId="0" fontId="21" fillId="13" borderId="8" xfId="0" applyFont="1" applyFill="1" applyBorder="1" applyAlignment="1">
      <alignment horizontal="center" vertical="center" textRotation="180"/>
    </xf>
    <xf numFmtId="0" fontId="21" fillId="13" borderId="9" xfId="0" applyFont="1" applyFill="1" applyBorder="1" applyAlignment="1">
      <alignment horizontal="center" vertical="center" textRotation="180"/>
    </xf>
    <xf numFmtId="0" fontId="1" fillId="5" borderId="2" xfId="0" applyFont="1" applyFill="1" applyBorder="1" applyAlignment="1">
      <alignment horizontal="center"/>
    </xf>
    <xf numFmtId="0" fontId="1" fillId="5" borderId="7" xfId="0" applyFont="1" applyFill="1" applyBorder="1" applyAlignment="1">
      <alignment horizontal="center"/>
    </xf>
    <xf numFmtId="0" fontId="1" fillId="5" borderId="3" xfId="0" applyFont="1" applyFill="1" applyBorder="1" applyAlignment="1">
      <alignment horizontal="center"/>
    </xf>
    <xf numFmtId="0" fontId="1" fillId="5" borderId="8" xfId="0" applyFont="1" applyFill="1" applyBorder="1" applyAlignment="1">
      <alignment horizontal="center"/>
    </xf>
    <xf numFmtId="0" fontId="1" fillId="5" borderId="4" xfId="0" applyFont="1" applyFill="1" applyBorder="1" applyAlignment="1">
      <alignment horizontal="center"/>
    </xf>
    <xf numFmtId="0" fontId="1" fillId="5" borderId="9" xfId="0" applyFont="1" applyFill="1" applyBorder="1" applyAlignment="1">
      <alignment horizontal="center"/>
    </xf>
    <xf numFmtId="0" fontId="40" fillId="13" borderId="13" xfId="0" applyFont="1" applyFill="1" applyBorder="1" applyAlignment="1">
      <alignment horizontal="center" vertical="center"/>
    </xf>
    <xf numFmtId="0" fontId="40" fillId="13" borderId="14" xfId="0" applyFont="1" applyFill="1" applyBorder="1" applyAlignment="1">
      <alignment horizontal="center" vertical="center"/>
    </xf>
    <xf numFmtId="0" fontId="40" fillId="13" borderId="10" xfId="0" applyFont="1" applyFill="1" applyBorder="1" applyAlignment="1">
      <alignment horizontal="center" vertical="center"/>
    </xf>
    <xf numFmtId="0" fontId="1" fillId="13" borderId="13" xfId="0" applyFont="1" applyFill="1" applyBorder="1" applyAlignment="1">
      <alignment horizontal="left" vertical="center"/>
    </xf>
    <xf numFmtId="0" fontId="1" fillId="13" borderId="10" xfId="0" applyFont="1" applyFill="1" applyBorder="1" applyAlignment="1">
      <alignment horizontal="left" vertical="center"/>
    </xf>
    <xf numFmtId="0" fontId="1" fillId="13" borderId="14" xfId="0" applyFont="1" applyFill="1" applyBorder="1" applyAlignment="1">
      <alignment horizontal="left" vertical="center"/>
    </xf>
    <xf numFmtId="0" fontId="6" fillId="13" borderId="2" xfId="0" applyFont="1" applyFill="1" applyBorder="1" applyAlignment="1">
      <alignment horizontal="center" wrapText="1"/>
    </xf>
    <xf numFmtId="0" fontId="6" fillId="13" borderId="5" xfId="0" applyFont="1" applyFill="1" applyBorder="1" applyAlignment="1">
      <alignment horizontal="center" wrapText="1"/>
    </xf>
    <xf numFmtId="0" fontId="6" fillId="13" borderId="7" xfId="0" applyFont="1" applyFill="1" applyBorder="1" applyAlignment="1">
      <alignment horizontal="center" wrapText="1"/>
    </xf>
    <xf numFmtId="0" fontId="6" fillId="13" borderId="4" xfId="0" applyFont="1" applyFill="1" applyBorder="1" applyAlignment="1">
      <alignment horizontal="center" wrapText="1"/>
    </xf>
    <xf numFmtId="0" fontId="6" fillId="13" borderId="6" xfId="0" applyFont="1" applyFill="1" applyBorder="1" applyAlignment="1">
      <alignment horizontal="center" wrapText="1"/>
    </xf>
    <xf numFmtId="0" fontId="6" fillId="13" borderId="9" xfId="0" applyFont="1" applyFill="1" applyBorder="1" applyAlignment="1">
      <alignment horizontal="center" wrapText="1"/>
    </xf>
    <xf numFmtId="0" fontId="6" fillId="13" borderId="13" xfId="0" applyFont="1" applyFill="1" applyBorder="1" applyAlignment="1">
      <alignment horizontal="center" textRotation="90" wrapText="1"/>
    </xf>
    <xf numFmtId="0" fontId="6" fillId="13" borderId="10" xfId="0" applyFont="1" applyFill="1" applyBorder="1" applyAlignment="1">
      <alignment horizontal="center" textRotation="90" wrapText="1"/>
    </xf>
    <xf numFmtId="0" fontId="6" fillId="5" borderId="13" xfId="0" applyFont="1" applyFill="1" applyBorder="1" applyAlignment="1">
      <alignment horizontal="center"/>
    </xf>
    <xf numFmtId="0" fontId="6" fillId="5" borderId="14" xfId="0" applyFont="1" applyFill="1" applyBorder="1" applyAlignment="1">
      <alignment horizontal="center"/>
    </xf>
    <xf numFmtId="0" fontId="6" fillId="5" borderId="10" xfId="0" applyFont="1" applyFill="1" applyBorder="1" applyAlignment="1">
      <alignment horizontal="center"/>
    </xf>
    <xf numFmtId="0" fontId="6" fillId="13" borderId="2" xfId="0" applyFont="1" applyFill="1" applyBorder="1" applyAlignment="1">
      <alignment horizontal="center" vertical="center"/>
    </xf>
    <xf numFmtId="0" fontId="6" fillId="13" borderId="5" xfId="0" applyFont="1" applyFill="1" applyBorder="1" applyAlignment="1">
      <alignment horizontal="center" vertical="center"/>
    </xf>
    <xf numFmtId="0" fontId="6" fillId="13" borderId="7" xfId="0" applyFont="1" applyFill="1" applyBorder="1" applyAlignment="1">
      <alignment horizontal="center" vertical="center"/>
    </xf>
    <xf numFmtId="0" fontId="6" fillId="13" borderId="4" xfId="0" applyFont="1" applyFill="1" applyBorder="1" applyAlignment="1">
      <alignment horizontal="center" vertical="center"/>
    </xf>
    <xf numFmtId="0" fontId="6" fillId="13" borderId="6" xfId="0" applyFont="1" applyFill="1" applyBorder="1" applyAlignment="1">
      <alignment horizontal="center" vertical="center"/>
    </xf>
    <xf numFmtId="0" fontId="6" fillId="13" borderId="9" xfId="0" applyFont="1" applyFill="1" applyBorder="1" applyAlignment="1">
      <alignment horizontal="center" vertical="center"/>
    </xf>
    <xf numFmtId="0" fontId="22" fillId="5" borderId="14" xfId="0" applyFont="1" applyFill="1" applyBorder="1" applyAlignment="1">
      <alignment horizontal="left" vertical="top" wrapText="1"/>
    </xf>
    <xf numFmtId="0" fontId="22" fillId="5" borderId="10" xfId="0" applyFont="1" applyFill="1" applyBorder="1" applyAlignment="1">
      <alignment horizontal="left" vertical="top" wrapText="1"/>
    </xf>
    <xf numFmtId="0" fontId="40" fillId="13" borderId="2" xfId="0" applyFont="1" applyFill="1" applyBorder="1" applyAlignment="1">
      <alignment horizontal="left"/>
    </xf>
    <xf numFmtId="0" fontId="40" fillId="13" borderId="5" xfId="0" applyFont="1" applyFill="1" applyBorder="1" applyAlignment="1">
      <alignment horizontal="left"/>
    </xf>
    <xf numFmtId="0" fontId="40" fillId="13" borderId="7" xfId="0" applyFont="1" applyFill="1" applyBorder="1" applyAlignment="1">
      <alignment horizontal="left"/>
    </xf>
    <xf numFmtId="0" fontId="48" fillId="13" borderId="13" xfId="0" applyFont="1" applyFill="1" applyBorder="1" applyAlignment="1">
      <alignment horizontal="center" vertical="center" wrapText="1"/>
    </xf>
    <xf numFmtId="0" fontId="48" fillId="13" borderId="14" xfId="0" applyFont="1" applyFill="1" applyBorder="1" applyAlignment="1">
      <alignment horizontal="center" vertical="center" wrapText="1"/>
    </xf>
    <xf numFmtId="0" fontId="48" fillId="13" borderId="10" xfId="0" applyFont="1" applyFill="1" applyBorder="1" applyAlignment="1">
      <alignment horizontal="center" vertical="center" wrapText="1"/>
    </xf>
    <xf numFmtId="171" fontId="67" fillId="13" borderId="13" xfId="0" applyNumberFormat="1" applyFont="1" applyFill="1" applyBorder="1" applyAlignment="1">
      <alignment horizontal="center" vertical="center"/>
    </xf>
    <xf numFmtId="171" fontId="67" fillId="13" borderId="10" xfId="0" applyNumberFormat="1" applyFont="1" applyFill="1" applyBorder="1" applyAlignment="1">
      <alignment horizontal="center" vertical="center"/>
    </xf>
    <xf numFmtId="171" fontId="48" fillId="12" borderId="13" xfId="0" applyNumberFormat="1" applyFont="1" applyFill="1" applyBorder="1" applyAlignment="1">
      <alignment horizontal="center" vertical="center"/>
    </xf>
    <xf numFmtId="171" fontId="48" fillId="12" borderId="10" xfId="0" applyNumberFormat="1" applyFont="1" applyFill="1" applyBorder="1" applyAlignment="1">
      <alignment horizontal="center" vertical="center"/>
    </xf>
    <xf numFmtId="0" fontId="24" fillId="5" borderId="0" xfId="0" applyFont="1" applyFill="1" applyAlignment="1">
      <alignment horizontal="center"/>
    </xf>
    <xf numFmtId="0" fontId="38" fillId="13" borderId="13" xfId="0" applyFont="1" applyFill="1" applyBorder="1" applyAlignment="1" applyProtection="1">
      <alignment vertical="center" wrapText="1"/>
      <protection locked="0"/>
    </xf>
    <xf numFmtId="0" fontId="38" fillId="13" borderId="10" xfId="0" applyFont="1" applyFill="1" applyBorder="1" applyAlignment="1" applyProtection="1">
      <alignment vertical="center" wrapText="1"/>
      <protection locked="0"/>
    </xf>
    <xf numFmtId="0" fontId="13" fillId="3" borderId="13" xfId="0" applyFont="1" applyFill="1" applyBorder="1" applyAlignment="1">
      <alignment horizontal="center" vertical="center" wrapText="1"/>
    </xf>
    <xf numFmtId="0" fontId="13" fillId="3" borderId="14"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24" fillId="5" borderId="0" xfId="0" applyFont="1" applyFill="1" applyBorder="1" applyAlignment="1">
      <alignment horizontal="center"/>
    </xf>
    <xf numFmtId="0" fontId="22" fillId="0" borderId="0" xfId="0" applyFont="1" applyBorder="1" applyAlignment="1">
      <alignment horizontal="center" vertical="center"/>
    </xf>
    <xf numFmtId="0" fontId="40" fillId="0" borderId="0" xfId="0" applyFont="1" applyBorder="1" applyAlignment="1">
      <alignment horizontal="center" vertical="center"/>
    </xf>
    <xf numFmtId="0" fontId="40" fillId="0" borderId="0" xfId="0" applyFont="1" applyBorder="1" applyAlignment="1">
      <alignment horizontal="center" vertical="center" wrapText="1"/>
    </xf>
    <xf numFmtId="0" fontId="22" fillId="0" borderId="0" xfId="0" applyFont="1" applyBorder="1" applyAlignment="1">
      <alignment horizontal="left" wrapText="1"/>
    </xf>
    <xf numFmtId="0" fontId="22" fillId="0" borderId="0" xfId="0" applyFont="1" applyBorder="1" applyAlignment="1">
      <alignment horizontal="left" vertical="center" wrapText="1"/>
    </xf>
    <xf numFmtId="0" fontId="22" fillId="0" borderId="0" xfId="0" applyFont="1" applyBorder="1" applyAlignment="1">
      <alignment horizontal="left" vertical="top" wrapText="1"/>
    </xf>
    <xf numFmtId="0" fontId="40" fillId="0" borderId="0" xfId="0" applyFont="1" applyBorder="1" applyAlignment="1">
      <alignment horizontal="center"/>
    </xf>
    <xf numFmtId="0" fontId="4" fillId="13" borderId="13" xfId="0" applyFont="1" applyFill="1" applyBorder="1" applyAlignment="1">
      <alignment horizontal="left" vertical="center" wrapText="1"/>
    </xf>
    <xf numFmtId="0" fontId="4" fillId="13" borderId="14" xfId="0" applyFont="1" applyFill="1" applyBorder="1" applyAlignment="1">
      <alignment horizontal="left" vertical="center" wrapText="1"/>
    </xf>
    <xf numFmtId="0" fontId="6" fillId="13" borderId="13" xfId="0" applyFont="1" applyFill="1" applyBorder="1" applyAlignment="1">
      <alignment horizontal="center" vertical="center"/>
    </xf>
  </cellXfs>
  <cellStyles count="6">
    <cellStyle name="Comma" xfId="5" builtinId="3"/>
    <cellStyle name="Normal" xfId="0" builtinId="0" customBuiltin="1"/>
    <cellStyle name="Percent" xfId="1" builtinId="5"/>
    <cellStyle name="Prozent 2" xfId="2" xr:uid="{00000000-0005-0000-0000-000001000000}"/>
    <cellStyle name="Standard 2" xfId="3" xr:uid="{00000000-0005-0000-0000-000003000000}"/>
    <cellStyle name="Standard 4" xfId="4" xr:uid="{00000000-0005-0000-0000-000004000000}"/>
  </cellStyles>
  <dxfs count="271">
    <dxf>
      <font>
        <color theme="1"/>
      </font>
      <fill>
        <patternFill>
          <bgColor theme="9"/>
        </patternFill>
      </fill>
    </dxf>
    <dxf>
      <font>
        <color theme="6"/>
      </font>
      <fill>
        <patternFill>
          <bgColor theme="6"/>
        </patternFill>
      </fill>
    </dxf>
    <dxf>
      <font>
        <color theme="1"/>
      </font>
      <fill>
        <patternFill>
          <bgColor theme="9"/>
        </patternFill>
      </fill>
    </dxf>
    <dxf>
      <font>
        <color theme="1"/>
      </font>
      <fill>
        <patternFill>
          <bgColor theme="9"/>
        </patternFill>
      </fill>
    </dxf>
    <dxf>
      <font>
        <color theme="6"/>
      </font>
      <fill>
        <patternFill>
          <bgColor theme="6"/>
        </patternFill>
      </fill>
    </dxf>
    <dxf>
      <font>
        <color theme="1"/>
      </font>
      <fill>
        <patternFill>
          <bgColor theme="9"/>
        </patternFill>
      </fill>
    </dxf>
    <dxf>
      <font>
        <color theme="1"/>
      </font>
      <fill>
        <patternFill>
          <bgColor theme="9"/>
        </patternFill>
      </fill>
    </dxf>
    <dxf>
      <font>
        <color theme="6"/>
      </font>
      <fill>
        <patternFill>
          <bgColor theme="6"/>
        </patternFill>
      </fill>
    </dxf>
    <dxf>
      <font>
        <color theme="1"/>
      </font>
      <fill>
        <patternFill>
          <bgColor theme="9"/>
        </patternFill>
      </fill>
    </dxf>
    <dxf>
      <font>
        <color theme="0" tint="-0.249977111117893"/>
      </font>
      <fill>
        <patternFill patternType="solid">
          <fgColor indexed="64"/>
          <bgColor theme="0" tint="-0.249977111117893"/>
        </patternFill>
      </fill>
    </dxf>
    <dxf>
      <numFmt numFmtId="1" formatCode="0"/>
    </dxf>
    <dxf>
      <font>
        <color theme="6"/>
      </font>
      <fill>
        <patternFill>
          <bgColor theme="6"/>
        </patternFill>
      </fill>
    </dxf>
    <dxf>
      <numFmt numFmtId="1" formatCode="0"/>
    </dxf>
    <dxf>
      <font>
        <color theme="6"/>
      </font>
      <fill>
        <patternFill>
          <bgColor theme="6"/>
        </patternFill>
      </fill>
    </dxf>
    <dxf>
      <font>
        <color theme="9"/>
      </font>
    </dxf>
    <dxf>
      <font>
        <color theme="6"/>
      </font>
      <fill>
        <patternFill>
          <bgColor theme="6"/>
        </patternFill>
      </fill>
    </dxf>
    <dxf>
      <font>
        <color theme="0" tint="-0.249977111117893"/>
      </font>
      <fill>
        <patternFill patternType="solid">
          <fgColor indexed="64"/>
          <bgColor theme="0" tint="-0.249977111117893"/>
        </patternFill>
      </fill>
    </dxf>
    <dxf>
      <numFmt numFmtId="1" formatCode="0"/>
    </dxf>
    <dxf>
      <font>
        <color theme="9"/>
      </font>
    </dxf>
    <dxf>
      <font>
        <color theme="6"/>
      </font>
      <fill>
        <patternFill>
          <bgColor theme="6"/>
        </patternFill>
      </fill>
    </dxf>
    <dxf>
      <font>
        <color theme="6"/>
      </font>
      <fill>
        <patternFill>
          <bgColor theme="6"/>
        </patternFill>
      </fill>
    </dxf>
    <dxf>
      <font>
        <color theme="0" tint="-0.249977111117893"/>
      </font>
      <fill>
        <patternFill patternType="solid">
          <fgColor indexed="64"/>
          <bgColor theme="0" tint="-0.249977111117893"/>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9"/>
      </font>
    </dxf>
    <dxf>
      <font>
        <color theme="0" tint="-0.249977111117893"/>
      </font>
      <fill>
        <patternFill patternType="solid">
          <fgColor indexed="64"/>
          <bgColor theme="0" tint="-0.249977111117893"/>
        </patternFill>
      </fill>
    </dxf>
    <dxf>
      <font>
        <color rgb="FFFF0000"/>
      </font>
    </dxf>
    <dxf>
      <font>
        <color rgb="FFFF0000"/>
      </font>
    </dxf>
    <dxf>
      <font>
        <color theme="9"/>
      </font>
    </dxf>
    <dxf>
      <font>
        <color theme="1"/>
      </font>
      <fill>
        <patternFill>
          <bgColor theme="8" tint="0.59996337778862885"/>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ill>
        <patternFill>
          <bgColor theme="8" tint="0.59996337778862885"/>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ill>
        <patternFill>
          <bgColor theme="8" tint="0.59996337778862885"/>
        </patternFill>
      </fill>
    </dxf>
    <dxf>
      <font>
        <color theme="1"/>
      </font>
      <fill>
        <patternFill>
          <bgColor theme="7" tint="0.39994506668294322"/>
        </patternFill>
      </fill>
    </dxf>
    <dxf>
      <font>
        <color theme="1"/>
      </font>
      <fill>
        <patternFill>
          <bgColor theme="8" tint="0.59996337778862885"/>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8" tint="0.59996337778862885"/>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8" tint="0.59996337778862885"/>
        </patternFill>
      </fill>
    </dxf>
    <dxf>
      <font>
        <color theme="1"/>
      </font>
      <fill>
        <patternFill>
          <bgColor theme="7" tint="0.39994506668294322"/>
        </patternFill>
      </fill>
    </dxf>
    <dxf>
      <font>
        <color theme="1"/>
      </font>
      <fill>
        <patternFill>
          <bgColor theme="8" tint="0.59996337778862885"/>
        </patternFill>
      </fill>
    </dxf>
    <dxf>
      <font>
        <color theme="1"/>
      </font>
      <fill>
        <patternFill>
          <bgColor theme="7" tint="0.39994506668294322"/>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9"/>
      </font>
    </dxf>
    <dxf>
      <font>
        <color theme="0" tint="-0.249977111117893"/>
      </font>
      <fill>
        <patternFill patternType="solid">
          <fgColor indexed="64"/>
          <bgColor theme="0" tint="-0.249977111117893"/>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9"/>
      </font>
    </dxf>
    <dxf>
      <font>
        <color theme="0" tint="-0.249977111117893"/>
      </font>
      <fill>
        <patternFill patternType="solid">
          <fgColor indexed="64"/>
          <bgColor theme="0" tint="-0.249977111117893"/>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1"/>
      </font>
      <fill>
        <patternFill>
          <bgColor theme="7" tint="0.39994506668294322"/>
        </patternFill>
      </fill>
    </dxf>
    <dxf>
      <font>
        <color theme="6"/>
      </font>
      <fill>
        <patternFill>
          <bgColor theme="6"/>
        </patternFill>
      </fill>
    </dxf>
    <dxf>
      <font>
        <color theme="9"/>
      </font>
    </dxf>
    <dxf>
      <font>
        <color theme="0" tint="-0.249977111117893"/>
      </font>
      <fill>
        <patternFill patternType="solid">
          <fgColor indexed="64"/>
          <bgColor theme="0" tint="-0.249977111117893"/>
        </patternFill>
      </fill>
    </dxf>
    <dxf>
      <fill>
        <patternFill>
          <bgColor rgb="FFFF0000"/>
        </patternFill>
      </fill>
    </dxf>
    <dxf>
      <fill>
        <patternFill>
          <bgColor rgb="FFFFC000"/>
        </patternFill>
      </fill>
    </dxf>
    <dxf>
      <fill>
        <patternFill>
          <bgColor theme="9"/>
        </patternFill>
      </fill>
    </dxf>
    <dxf>
      <fill>
        <patternFill>
          <bgColor rgb="FFFF0000"/>
        </patternFill>
      </fill>
    </dxf>
    <dxf>
      <fill>
        <patternFill>
          <bgColor rgb="FFFFC000"/>
        </patternFill>
      </fill>
    </dxf>
    <dxf>
      <fill>
        <patternFill>
          <bgColor theme="9"/>
        </patternFill>
      </fill>
    </dxf>
    <dxf>
      <font>
        <b/>
        <i val="0"/>
        <color rgb="FFFF0000"/>
      </font>
    </dxf>
    <dxf>
      <font>
        <b/>
        <i val="0"/>
        <color rgb="FFFF0000"/>
      </font>
    </dxf>
    <dxf>
      <font>
        <color theme="9"/>
      </font>
      <fill>
        <patternFill>
          <bgColor theme="9"/>
        </patternFill>
      </fill>
    </dxf>
    <dxf>
      <font>
        <color rgb="FFFF0000"/>
      </font>
      <fill>
        <patternFill patternType="solid">
          <bgColor rgb="FFFF0000"/>
        </patternFill>
      </fill>
    </dxf>
    <dxf>
      <font>
        <color theme="9"/>
      </font>
      <fill>
        <patternFill>
          <bgColor theme="9"/>
        </patternFill>
      </fill>
    </dxf>
    <dxf>
      <font>
        <color rgb="FFFF0000"/>
      </font>
      <fill>
        <patternFill patternType="solid">
          <bgColor rgb="FFFF0000"/>
        </patternFill>
      </fill>
    </dxf>
    <dxf>
      <fill>
        <patternFill>
          <bgColor theme="8"/>
        </patternFill>
      </fill>
    </dxf>
    <dxf>
      <font>
        <color theme="0" tint="-0.249977111117893"/>
      </font>
      <fill>
        <patternFill patternType="solid">
          <fgColor indexed="64"/>
          <bgColor theme="0" tint="-0.249977111117893"/>
        </patternFill>
      </fill>
    </dxf>
    <dxf>
      <font>
        <color theme="1"/>
      </font>
    </dxf>
    <dxf>
      <font>
        <color theme="6"/>
      </font>
      <fill>
        <patternFill>
          <bgColor theme="6"/>
        </patternFill>
      </fill>
    </dxf>
    <dxf>
      <font>
        <color theme="6"/>
      </font>
      <fill>
        <patternFill>
          <bgColor theme="6"/>
        </patternFill>
      </fill>
    </dxf>
    <dxf>
      <font>
        <color theme="6"/>
      </font>
      <fill>
        <patternFill>
          <bgColor theme="6"/>
        </patternFill>
      </fill>
    </dxf>
    <dxf>
      <font>
        <color theme="9"/>
      </font>
    </dxf>
    <dxf>
      <font>
        <color theme="6"/>
      </font>
      <fill>
        <patternFill>
          <bgColor theme="6"/>
        </patternFill>
      </fill>
    </dxf>
    <dxf>
      <font>
        <color theme="6"/>
      </font>
      <fill>
        <patternFill>
          <bgColor theme="6"/>
        </patternFill>
      </fill>
    </dxf>
    <dxf>
      <font>
        <color theme="1"/>
      </font>
    </dxf>
    <dxf>
      <font>
        <color theme="6"/>
      </font>
      <fill>
        <patternFill>
          <bgColor theme="6"/>
        </patternFill>
      </fill>
    </dxf>
    <dxf>
      <font>
        <color theme="6"/>
      </font>
      <fill>
        <patternFill>
          <bgColor theme="6"/>
        </patternFill>
      </fill>
    </dxf>
    <dxf>
      <font>
        <color theme="0" tint="-0.249977111117893"/>
      </font>
      <fill>
        <patternFill patternType="solid">
          <fgColor indexed="64"/>
          <bgColor theme="0" tint="-0.249977111117893"/>
        </patternFill>
      </fill>
    </dxf>
    <dxf>
      <font>
        <color theme="1"/>
      </font>
    </dxf>
    <dxf>
      <font>
        <color theme="1"/>
      </font>
    </dxf>
    <dxf>
      <font>
        <color theme="1"/>
      </font>
    </dxf>
    <dxf>
      <font>
        <color theme="1"/>
      </font>
    </dxf>
    <dxf>
      <font>
        <color theme="9"/>
      </font>
    </dxf>
    <dxf>
      <font>
        <color theme="1"/>
      </font>
    </dxf>
    <dxf>
      <font>
        <color theme="6"/>
      </font>
      <fill>
        <patternFill>
          <bgColor theme="6"/>
        </patternFill>
      </fill>
    </dxf>
    <dxf>
      <font>
        <color theme="6"/>
      </font>
      <fill>
        <patternFill>
          <bgColor theme="6"/>
        </patternFill>
      </fill>
    </dxf>
    <dxf>
      <font>
        <color theme="0" tint="-0.249977111117893"/>
      </font>
      <fill>
        <patternFill patternType="solid">
          <fgColor indexed="64"/>
          <bgColor theme="0" tint="-0.249977111117893"/>
        </patternFill>
      </fill>
    </dxf>
    <dxf>
      <font>
        <color theme="9"/>
      </font>
    </dxf>
    <dxf>
      <font>
        <color theme="1"/>
      </font>
    </dxf>
    <dxf>
      <font>
        <color theme="6"/>
      </font>
      <fill>
        <patternFill>
          <bgColor theme="6"/>
        </patternFill>
      </fill>
    </dxf>
    <dxf>
      <font>
        <color theme="0" tint="-0.249977111117893"/>
      </font>
      <fill>
        <patternFill patternType="solid">
          <fgColor indexed="64"/>
          <bgColor theme="0" tint="-0.249977111117893"/>
        </patternFill>
      </fill>
    </dxf>
    <dxf>
      <font>
        <color theme="1"/>
      </font>
    </dxf>
    <dxf>
      <font>
        <color theme="1"/>
      </font>
    </dxf>
    <dxf>
      <font>
        <color theme="1"/>
      </font>
    </dxf>
    <dxf>
      <font>
        <color theme="1"/>
      </font>
    </dxf>
    <dxf>
      <font>
        <color theme="9"/>
      </font>
    </dxf>
    <dxf>
      <font>
        <color theme="1"/>
      </font>
    </dxf>
    <dxf>
      <font>
        <color theme="6"/>
      </font>
      <fill>
        <patternFill>
          <bgColor theme="6"/>
        </patternFill>
      </fill>
    </dxf>
    <dxf>
      <font>
        <color theme="6"/>
      </font>
      <fill>
        <patternFill>
          <bgColor theme="6"/>
        </patternFill>
      </fill>
    </dxf>
    <dxf>
      <font>
        <color theme="0" tint="-0.249977111117893"/>
      </font>
      <fill>
        <patternFill patternType="solid">
          <fgColor indexed="64"/>
          <bgColor theme="0" tint="-0.249977111117893"/>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9"/>
      </font>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0" tint="-0.249977111117893"/>
      </font>
      <fill>
        <patternFill patternType="solid">
          <fgColor indexed="64"/>
          <bgColor theme="0" tint="-0.249977111117893"/>
        </patternFill>
      </fill>
    </dxf>
    <dxf>
      <font>
        <color theme="9"/>
      </font>
    </dxf>
    <dxf>
      <font>
        <color theme="1"/>
      </font>
    </dxf>
    <dxf>
      <font>
        <color theme="1"/>
      </font>
    </dxf>
    <dxf>
      <font>
        <color theme="6"/>
      </font>
      <fill>
        <patternFill>
          <bgColor theme="6"/>
        </patternFill>
      </fill>
    </dxf>
    <dxf>
      <font>
        <color theme="6"/>
      </font>
      <fill>
        <patternFill>
          <bgColor theme="6"/>
        </patternFill>
      </fill>
    </dxf>
    <dxf>
      <font>
        <color theme="0" tint="-0.249977111117893"/>
      </font>
      <fill>
        <patternFill patternType="solid">
          <fgColor indexed="64"/>
          <bgColor theme="0" tint="-0.249977111117893"/>
        </patternFill>
      </fill>
    </dxf>
    <dxf>
      <font>
        <color theme="9"/>
      </font>
    </dxf>
    <dxf>
      <font>
        <color theme="1"/>
      </font>
    </dxf>
    <dxf>
      <font>
        <color theme="6"/>
      </font>
      <fill>
        <patternFill>
          <bgColor theme="6"/>
        </patternFill>
      </fill>
    </dxf>
    <dxf>
      <font>
        <color theme="6"/>
      </font>
      <fill>
        <patternFill>
          <bgColor theme="6"/>
        </patternFill>
      </fill>
    </dxf>
    <dxf>
      <font>
        <color theme="0" tint="-0.249977111117893"/>
      </font>
      <fill>
        <patternFill patternType="solid">
          <fgColor indexed="64"/>
          <bgColor theme="0" tint="-0.249977111117893"/>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6"/>
      </font>
      <fill>
        <patternFill>
          <bgColor theme="6"/>
        </patternFill>
      </fill>
    </dxf>
    <dxf>
      <font>
        <color theme="9"/>
      </font>
    </dxf>
    <dxf>
      <font>
        <color theme="1"/>
      </font>
      <fill>
        <patternFill>
          <bgColor theme="7" tint="0.39994506668294322"/>
        </patternFill>
      </fill>
    </dxf>
    <dxf>
      <font>
        <color theme="6"/>
      </font>
      <fill>
        <patternFill>
          <bgColor theme="6"/>
        </patternFill>
      </fill>
    </dxf>
    <dxf>
      <font>
        <color theme="0" tint="-0.249977111117893"/>
      </font>
      <fill>
        <patternFill patternType="solid">
          <fgColor indexed="64"/>
          <bgColor theme="0" tint="-0.249977111117893"/>
        </patternFill>
      </fill>
    </dxf>
    <dxf>
      <font>
        <color theme="0" tint="-0.249977111117893"/>
      </font>
      <fill>
        <patternFill patternType="solid">
          <fgColor indexed="64"/>
          <bgColor theme="0" tint="-0.249977111117893"/>
        </patternFill>
      </fill>
    </dxf>
    <dxf>
      <font>
        <color theme="0" tint="-0.249977111117893"/>
      </font>
      <fill>
        <patternFill patternType="solid">
          <fgColor indexed="64"/>
          <bgColor theme="0" tint="-0.249977111117893"/>
        </patternFill>
      </fill>
    </dxf>
    <dxf>
      <font>
        <color theme="0" tint="-0.249977111117893"/>
      </font>
      <fill>
        <patternFill patternType="solid">
          <fgColor indexed="64"/>
          <bgColor theme="0" tint="-0.249977111117893"/>
        </patternFill>
      </fill>
    </dxf>
    <dxf>
      <font>
        <color theme="0" tint="-0.249977111117893"/>
      </font>
      <fill>
        <patternFill patternType="solid">
          <fgColor indexed="64"/>
          <bgColor theme="0" tint="-0.249977111117893"/>
        </patternFill>
      </fill>
    </dxf>
    <dxf>
      <font>
        <color theme="0" tint="-0.249977111117893"/>
      </font>
      <fill>
        <patternFill patternType="solid">
          <fgColor indexed="64"/>
          <bgColor theme="0" tint="-0.249977111117893"/>
        </patternFill>
      </fill>
    </dxf>
    <dxf>
      <font>
        <color theme="9"/>
      </font>
    </dxf>
    <dxf>
      <font>
        <color theme="6"/>
      </font>
      <fill>
        <patternFill>
          <bgColor theme="6"/>
        </patternFill>
      </fill>
    </dxf>
    <dxf>
      <font>
        <color theme="0" tint="-0.249977111117893"/>
      </font>
      <fill>
        <patternFill patternType="solid">
          <fgColor indexed="64"/>
          <bgColor theme="0" tint="-0.249977111117893"/>
        </patternFill>
      </fill>
    </dxf>
    <dxf>
      <font>
        <color theme="0" tint="-0.14996795556505021"/>
      </font>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ill>
        <patternFill>
          <bgColor theme="8"/>
        </patternFill>
      </fill>
    </dxf>
    <dxf>
      <font>
        <color theme="0" tint="-0.14996795556505021"/>
      </font>
    </dxf>
    <dxf>
      <fill>
        <patternFill>
          <bgColor theme="8"/>
        </patternFill>
      </fill>
    </dxf>
    <dxf>
      <fill>
        <patternFill>
          <bgColor theme="8"/>
        </patternFill>
      </fill>
    </dxf>
    <dxf>
      <fill>
        <patternFill>
          <bgColor theme="8"/>
        </patternFill>
      </fill>
    </dxf>
    <dxf>
      <font>
        <color rgb="FFFF0000"/>
      </font>
    </dxf>
    <dxf>
      <fill>
        <patternFill>
          <bgColor theme="8"/>
        </patternFill>
      </fill>
    </dxf>
    <dxf>
      <font>
        <color theme="0"/>
      </font>
      <fill>
        <patternFill>
          <bgColor rgb="FFFF0000"/>
        </patternFill>
      </fill>
    </dxf>
    <dxf>
      <font>
        <color theme="1"/>
      </font>
      <fill>
        <patternFill>
          <bgColor theme="9"/>
        </patternFill>
      </fill>
    </dxf>
    <dxf>
      <font>
        <color theme="9"/>
      </font>
    </dxf>
    <dxf>
      <font>
        <color theme="0"/>
      </font>
      <fill>
        <patternFill>
          <bgColor rgb="FFFF0000"/>
        </patternFill>
      </fill>
    </dxf>
    <dxf>
      <font>
        <color theme="1"/>
      </font>
      <fill>
        <patternFill>
          <bgColor theme="9"/>
        </patternFill>
      </fill>
    </dxf>
    <dxf>
      <fill>
        <patternFill>
          <bgColor theme="9"/>
        </patternFill>
      </fill>
    </dxf>
    <dxf>
      <font>
        <color theme="0"/>
      </font>
      <fill>
        <patternFill>
          <bgColor rgb="FFFF0000"/>
        </patternFill>
      </fill>
    </dxf>
    <dxf>
      <font>
        <color theme="0"/>
      </font>
      <fill>
        <patternFill>
          <bgColor rgb="FFFF0000"/>
        </patternFill>
      </fill>
    </dxf>
    <dxf>
      <font>
        <color theme="1"/>
      </font>
      <fill>
        <patternFill>
          <bgColor theme="9"/>
        </patternFill>
      </fill>
    </dxf>
    <dxf>
      <fill>
        <patternFill>
          <bgColor theme="9"/>
        </patternFill>
      </fill>
    </dxf>
    <dxf>
      <font>
        <color theme="0"/>
      </font>
      <fill>
        <patternFill>
          <bgColor rgb="FFFF0000"/>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1"/>
      </font>
      <fill>
        <patternFill>
          <bgColor theme="7" tint="0.39994506668294322"/>
        </patternFill>
      </fill>
    </dxf>
    <dxf>
      <font>
        <color theme="0" tint="-0.249977111117893"/>
      </font>
      <fill>
        <patternFill patternType="solid">
          <fgColor indexed="64"/>
          <bgColor theme="0" tint="-0.249977111117893"/>
        </patternFill>
      </fill>
    </dxf>
    <dxf>
      <font>
        <color theme="1"/>
      </font>
      <fill>
        <patternFill>
          <bgColor theme="7" tint="0.39994506668294322"/>
        </patternFill>
      </fill>
    </dxf>
    <dxf>
      <font>
        <color theme="1"/>
      </font>
      <fill>
        <patternFill>
          <bgColor theme="7" tint="0.39994506668294322"/>
        </patternFill>
      </fill>
    </dxf>
    <dxf>
      <font>
        <color theme="0" tint="-0.249977111117893"/>
      </font>
      <fill>
        <patternFill patternType="solid">
          <fgColor indexed="64"/>
          <bgColor theme="0" tint="-0.249977111117893"/>
        </patternFill>
      </fill>
    </dxf>
    <dxf>
      <font>
        <color theme="0" tint="-0.249977111117893"/>
      </font>
      <fill>
        <patternFill patternType="solid">
          <fgColor indexed="64"/>
          <bgColor theme="0" tint="-0.249977111117893"/>
        </patternFill>
      </fill>
    </dxf>
    <dxf>
      <font>
        <color theme="0" tint="-0.249977111117893"/>
      </font>
      <fill>
        <patternFill patternType="solid">
          <fgColor indexed="64"/>
          <bgColor theme="0" tint="-0.249977111117893"/>
        </patternFill>
      </fill>
    </dxf>
    <dxf>
      <font>
        <color theme="0" tint="-0.249977111117893"/>
      </font>
      <fill>
        <patternFill patternType="solid">
          <fgColor indexed="64"/>
          <bgColor theme="0" tint="-0.249977111117893"/>
        </patternFill>
      </fill>
    </dxf>
    <dxf>
      <font>
        <color theme="0" tint="-0.249977111117893"/>
      </font>
      <fill>
        <patternFill patternType="solid">
          <fgColor indexed="64"/>
          <bgColor theme="0" tint="-0.249977111117893"/>
        </patternFill>
      </fill>
    </dxf>
    <dxf>
      <font>
        <color theme="0" tint="-0.249977111117893"/>
      </font>
      <fill>
        <patternFill patternType="solid">
          <fgColor indexed="64"/>
          <bgColor theme="0" tint="-0.249977111117893"/>
        </patternFill>
      </fill>
    </dxf>
    <dxf>
      <font>
        <strike val="0"/>
        <color theme="0" tint="-0.14996795556505021"/>
      </font>
      <fill>
        <patternFill>
          <bgColor theme="0" tint="-0.14996795556505021"/>
        </patternFill>
      </fill>
    </dxf>
    <dxf>
      <font>
        <color theme="9"/>
      </font>
    </dxf>
    <dxf>
      <font>
        <color rgb="FFFF0000"/>
      </font>
      <fill>
        <patternFill>
          <bgColor rgb="FFFF0000"/>
        </patternFill>
      </fill>
    </dxf>
    <dxf>
      <font>
        <color theme="9"/>
      </font>
    </dxf>
    <dxf>
      <font>
        <color theme="9"/>
      </font>
      <fill>
        <patternFill>
          <bgColor theme="9"/>
        </patternFill>
      </fill>
    </dxf>
    <dxf>
      <font>
        <color theme="9"/>
      </font>
      <fill>
        <patternFill>
          <bgColor theme="9"/>
        </patternFill>
      </fill>
    </dxf>
    <dxf>
      <font>
        <color theme="9"/>
      </font>
      <fill>
        <patternFill>
          <bgColor theme="9"/>
        </patternFill>
      </fill>
    </dxf>
    <dxf>
      <font>
        <color theme="9"/>
      </font>
      <fill>
        <patternFill>
          <bgColor theme="9"/>
        </patternFill>
      </fill>
    </dxf>
    <dxf>
      <font>
        <color theme="9"/>
      </font>
      <fill>
        <patternFill>
          <bgColor theme="9"/>
        </patternFill>
      </fill>
    </dxf>
    <dxf>
      <font>
        <color theme="9"/>
      </font>
      <fill>
        <patternFill>
          <bgColor theme="9"/>
        </patternFill>
      </fill>
    </dxf>
    <dxf>
      <font>
        <color theme="9"/>
      </font>
      <fill>
        <patternFill>
          <bgColor theme="9"/>
        </patternFill>
      </fill>
    </dxf>
    <dxf>
      <font>
        <color theme="9"/>
      </font>
      <fill>
        <patternFill>
          <bgColor theme="9"/>
        </patternFill>
      </fill>
    </dxf>
    <dxf>
      <font>
        <color theme="9"/>
      </font>
      <fill>
        <patternFill>
          <bgColor theme="9"/>
        </patternFill>
      </fill>
    </dxf>
    <dxf>
      <font>
        <color theme="9"/>
      </font>
      <fill>
        <patternFill>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strRef>
          <c:f>Rezultati!$E$3</c:f>
          <c:strCache>
            <c:ptCount val="1"/>
            <c:pt idx="0">
              <c:v>0</c:v>
            </c:pt>
          </c:strCache>
        </c:strRef>
      </c:tx>
      <c:overlay val="0"/>
      <c:txPr>
        <a:bodyPr/>
        <a:lstStyle/>
        <a:p>
          <a:pPr>
            <a:defRPr sz="1800"/>
          </a:pPr>
          <a:endParaRPr lang="sr-Latn-RS"/>
        </a:p>
      </c:txPr>
    </c:title>
    <c:autoTitleDeleted val="0"/>
    <c:plotArea>
      <c:layout>
        <c:manualLayout>
          <c:layoutTarget val="inner"/>
          <c:xMode val="edge"/>
          <c:yMode val="edge"/>
          <c:x val="5.0505498521545567E-2"/>
          <c:y val="0.15444292517327551"/>
          <c:w val="0.87162480481079108"/>
          <c:h val="0.8246510129347604"/>
        </c:manualLayout>
      </c:layout>
      <c:radarChart>
        <c:radarStyle val="filled"/>
        <c:varyColors val="0"/>
        <c:ser>
          <c:idx val="7"/>
          <c:order val="0"/>
          <c:tx>
            <c:strRef>
              <c:f>Rezultati!$K$17</c:f>
              <c:strCache>
                <c:ptCount val="1"/>
                <c:pt idx="0">
                  <c:v>Zeleno</c:v>
                </c:pt>
              </c:strCache>
            </c:strRef>
          </c:tx>
          <c:spPr>
            <a:solidFill>
              <a:schemeClr val="accent6">
                <a:lumMod val="40000"/>
                <a:lumOff val="60000"/>
              </a:schemeClr>
            </a:solidFill>
            <a:ln w="25400">
              <a:noFill/>
            </a:ln>
          </c:spPr>
          <c:cat>
            <c:strRef>
              <c:f>Rezultati!$I$18:$I$22</c:f>
              <c:strCache>
                <c:ptCount val="5"/>
                <c:pt idx="0">
                  <c:v>Energetika</c:v>
                </c:pt>
                <c:pt idx="1">
                  <c:v>Upravljanje vodama</c:v>
                </c:pt>
                <c:pt idx="2">
                  <c:v>Prostorno planiranje</c:v>
                </c:pt>
                <c:pt idx="3">
                  <c:v>Ekologija voda</c:v>
                </c:pt>
                <c:pt idx="4">
                  <c:v>Zaštita prirode</c:v>
                </c:pt>
              </c:strCache>
            </c:strRef>
          </c:cat>
          <c:val>
            <c:numRef>
              <c:f>Rezultati!$K$18:$K$22</c:f>
              <c:numCache>
                <c:formatCode>General</c:formatCode>
                <c:ptCount val="5"/>
                <c:pt idx="0">
                  <c:v>5</c:v>
                </c:pt>
                <c:pt idx="1">
                  <c:v>5</c:v>
                </c:pt>
                <c:pt idx="2">
                  <c:v>5</c:v>
                </c:pt>
                <c:pt idx="3">
                  <c:v>5</c:v>
                </c:pt>
                <c:pt idx="4">
                  <c:v>5</c:v>
                </c:pt>
              </c:numCache>
            </c:numRef>
          </c:val>
          <c:extLst>
            <c:ext xmlns:c16="http://schemas.microsoft.com/office/drawing/2014/chart" uri="{C3380CC4-5D6E-409C-BE32-E72D297353CC}">
              <c16:uniqueId val="{00000000-70AB-4A46-B57C-B167D09CE739}"/>
            </c:ext>
          </c:extLst>
        </c:ser>
        <c:ser>
          <c:idx val="8"/>
          <c:order val="1"/>
          <c:tx>
            <c:strRef>
              <c:f>Rezultati!$L$17</c:f>
              <c:strCache>
                <c:ptCount val="1"/>
                <c:pt idx="0">
                  <c:v>Narandžasto</c:v>
                </c:pt>
              </c:strCache>
            </c:strRef>
          </c:tx>
          <c:spPr>
            <a:solidFill>
              <a:srgbClr val="FFC000"/>
            </a:solidFill>
            <a:ln w="25400">
              <a:noFill/>
            </a:ln>
          </c:spPr>
          <c:cat>
            <c:strRef>
              <c:f>Rezultati!$I$18:$I$22</c:f>
              <c:strCache>
                <c:ptCount val="5"/>
                <c:pt idx="0">
                  <c:v>Energetika</c:v>
                </c:pt>
                <c:pt idx="1">
                  <c:v>Upravljanje vodama</c:v>
                </c:pt>
                <c:pt idx="2">
                  <c:v>Prostorno planiranje</c:v>
                </c:pt>
                <c:pt idx="3">
                  <c:v>Ekologija voda</c:v>
                </c:pt>
                <c:pt idx="4">
                  <c:v>Zaštita prirode</c:v>
                </c:pt>
              </c:strCache>
            </c:strRef>
          </c:cat>
          <c:val>
            <c:numRef>
              <c:f>Rezultati!$L$18:$L$22</c:f>
              <c:numCache>
                <c:formatCode>General</c:formatCode>
                <c:ptCount val="5"/>
                <c:pt idx="0">
                  <c:v>3.34</c:v>
                </c:pt>
                <c:pt idx="1">
                  <c:v>3.34</c:v>
                </c:pt>
                <c:pt idx="2">
                  <c:v>3.34</c:v>
                </c:pt>
                <c:pt idx="3">
                  <c:v>3.34</c:v>
                </c:pt>
                <c:pt idx="4">
                  <c:v>3.34</c:v>
                </c:pt>
              </c:numCache>
            </c:numRef>
          </c:val>
          <c:extLst>
            <c:ext xmlns:c16="http://schemas.microsoft.com/office/drawing/2014/chart" uri="{C3380CC4-5D6E-409C-BE32-E72D297353CC}">
              <c16:uniqueId val="{00000001-70AB-4A46-B57C-B167D09CE739}"/>
            </c:ext>
          </c:extLst>
        </c:ser>
        <c:ser>
          <c:idx val="9"/>
          <c:order val="2"/>
          <c:tx>
            <c:strRef>
              <c:f>Rezultati!$M$17</c:f>
              <c:strCache>
                <c:ptCount val="1"/>
                <c:pt idx="0">
                  <c:v>Crveno</c:v>
                </c:pt>
              </c:strCache>
            </c:strRef>
          </c:tx>
          <c:spPr>
            <a:solidFill>
              <a:srgbClr val="FF0000">
                <a:alpha val="81000"/>
              </a:srgbClr>
            </a:solidFill>
            <a:ln w="25400">
              <a:noFill/>
            </a:ln>
          </c:spPr>
          <c:cat>
            <c:strRef>
              <c:f>Rezultati!$I$18:$I$22</c:f>
              <c:strCache>
                <c:ptCount val="5"/>
                <c:pt idx="0">
                  <c:v>Energetika</c:v>
                </c:pt>
                <c:pt idx="1">
                  <c:v>Upravljanje vodama</c:v>
                </c:pt>
                <c:pt idx="2">
                  <c:v>Prostorno planiranje</c:v>
                </c:pt>
                <c:pt idx="3">
                  <c:v>Ekologija voda</c:v>
                </c:pt>
                <c:pt idx="4">
                  <c:v>Zaštita prirode</c:v>
                </c:pt>
              </c:strCache>
            </c:strRef>
          </c:cat>
          <c:val>
            <c:numRef>
              <c:f>Rezultati!$M$18:$M$22</c:f>
              <c:numCache>
                <c:formatCode>General</c:formatCode>
                <c:ptCount val="5"/>
                <c:pt idx="0">
                  <c:v>1.67</c:v>
                </c:pt>
                <c:pt idx="1">
                  <c:v>1.67</c:v>
                </c:pt>
                <c:pt idx="2">
                  <c:v>1.67</c:v>
                </c:pt>
                <c:pt idx="3">
                  <c:v>1.67</c:v>
                </c:pt>
                <c:pt idx="4">
                  <c:v>1.67</c:v>
                </c:pt>
              </c:numCache>
            </c:numRef>
          </c:val>
          <c:extLst>
            <c:ext xmlns:c16="http://schemas.microsoft.com/office/drawing/2014/chart" uri="{C3380CC4-5D6E-409C-BE32-E72D297353CC}">
              <c16:uniqueId val="{00000002-70AB-4A46-B57C-B167D09CE739}"/>
            </c:ext>
          </c:extLst>
        </c:ser>
        <c:ser>
          <c:idx val="6"/>
          <c:order val="3"/>
          <c:tx>
            <c:v>dummy</c:v>
          </c:tx>
          <c:spPr>
            <a:noFill/>
            <a:ln w="25400">
              <a:noFill/>
            </a:ln>
          </c:spPr>
          <c:cat>
            <c:strRef>
              <c:f>Rezultati!$I$18:$I$22</c:f>
              <c:strCache>
                <c:ptCount val="5"/>
                <c:pt idx="0">
                  <c:v>Energetika</c:v>
                </c:pt>
                <c:pt idx="1">
                  <c:v>Upravljanje vodama</c:v>
                </c:pt>
                <c:pt idx="2">
                  <c:v>Prostorno planiranje</c:v>
                </c:pt>
                <c:pt idx="3">
                  <c:v>Ekologija voda</c:v>
                </c:pt>
                <c:pt idx="4">
                  <c:v>Zaštita prirode</c:v>
                </c:pt>
              </c:strCache>
            </c:strRef>
          </c:cat>
          <c:val>
            <c:numRef>
              <c:f>Rezultati!$R$18:$R$22</c:f>
              <c:numCache>
                <c:formatCode>0</c:formatCode>
                <c:ptCount val="5"/>
                <c:pt idx="0">
                  <c:v>5</c:v>
                </c:pt>
                <c:pt idx="1">
                  <c:v>5</c:v>
                </c:pt>
                <c:pt idx="2">
                  <c:v>5</c:v>
                </c:pt>
                <c:pt idx="3">
                  <c:v>5</c:v>
                </c:pt>
                <c:pt idx="4">
                  <c:v>5</c:v>
                </c:pt>
              </c:numCache>
            </c:numRef>
          </c:val>
          <c:extLst>
            <c:ext xmlns:c16="http://schemas.microsoft.com/office/drawing/2014/chart" uri="{C3380CC4-5D6E-409C-BE32-E72D297353CC}">
              <c16:uniqueId val="{00000003-70AB-4A46-B57C-B167D09CE739}"/>
            </c:ext>
          </c:extLst>
        </c:ser>
        <c:ser>
          <c:idx val="0"/>
          <c:order val="4"/>
          <c:tx>
            <c:strRef>
              <c:f>Rezultati!$J$16</c:f>
              <c:strCache>
                <c:ptCount val="1"/>
                <c:pt idx="0">
                  <c:v>Rezultat</c:v>
                </c:pt>
              </c:strCache>
            </c:strRef>
          </c:tx>
          <c:spPr>
            <a:noFill/>
            <a:ln w="38100">
              <a:solidFill>
                <a:schemeClr val="tx1"/>
              </a:solidFill>
            </a:ln>
          </c:spPr>
          <c:cat>
            <c:strRef>
              <c:f>Rezultati!$I$18:$I$22</c:f>
              <c:strCache>
                <c:ptCount val="5"/>
                <c:pt idx="0">
                  <c:v>Energetika</c:v>
                </c:pt>
                <c:pt idx="1">
                  <c:v>Upravljanje vodama</c:v>
                </c:pt>
                <c:pt idx="2">
                  <c:v>Prostorno planiranje</c:v>
                </c:pt>
                <c:pt idx="3">
                  <c:v>Ekologija voda</c:v>
                </c:pt>
                <c:pt idx="4">
                  <c:v>Zaštita prirode</c:v>
                </c:pt>
              </c:strCache>
            </c:strRef>
          </c:cat>
          <c:val>
            <c:numRef>
              <c:f>Rezultati!$J$18:$J$22</c:f>
              <c:numCache>
                <c:formatCode>0.00</c:formatCode>
                <c:ptCount val="5"/>
                <c:pt idx="0">
                  <c:v>0</c:v>
                </c:pt>
                <c:pt idx="1">
                  <c:v>0</c:v>
                </c:pt>
                <c:pt idx="2">
                  <c:v>0</c:v>
                </c:pt>
                <c:pt idx="3">
                  <c:v>0</c:v>
                </c:pt>
                <c:pt idx="4">
                  <c:v>0</c:v>
                </c:pt>
              </c:numCache>
            </c:numRef>
          </c:val>
          <c:extLst>
            <c:ext xmlns:c16="http://schemas.microsoft.com/office/drawing/2014/chart" uri="{C3380CC4-5D6E-409C-BE32-E72D297353CC}">
              <c16:uniqueId val="{00000004-70AB-4A46-B57C-B167D09CE739}"/>
            </c:ext>
          </c:extLst>
        </c:ser>
        <c:ser>
          <c:idx val="5"/>
          <c:order val="5"/>
          <c:tx>
            <c:strRef>
              <c:f>Rezultati!$R$17</c:f>
              <c:strCache>
                <c:ptCount val="1"/>
                <c:pt idx="0">
                  <c:v>5</c:v>
                </c:pt>
              </c:strCache>
            </c:strRef>
          </c:tx>
          <c:spPr>
            <a:noFill/>
            <a:ln>
              <a:solidFill>
                <a:schemeClr val="accent3"/>
              </a:solidFill>
            </a:ln>
          </c:spPr>
          <c:cat>
            <c:strRef>
              <c:f>Rezultati!$I$18:$I$22</c:f>
              <c:strCache>
                <c:ptCount val="5"/>
                <c:pt idx="0">
                  <c:v>Energetika</c:v>
                </c:pt>
                <c:pt idx="1">
                  <c:v>Upravljanje vodama</c:v>
                </c:pt>
                <c:pt idx="2">
                  <c:v>Prostorno planiranje</c:v>
                </c:pt>
                <c:pt idx="3">
                  <c:v>Ekologija voda</c:v>
                </c:pt>
                <c:pt idx="4">
                  <c:v>Zaštita prirode</c:v>
                </c:pt>
              </c:strCache>
            </c:strRef>
          </c:cat>
          <c:val>
            <c:numRef>
              <c:f>Rezultati!$R$18:$R$22</c:f>
              <c:numCache>
                <c:formatCode>0</c:formatCode>
                <c:ptCount val="5"/>
                <c:pt idx="0">
                  <c:v>5</c:v>
                </c:pt>
                <c:pt idx="1">
                  <c:v>5</c:v>
                </c:pt>
                <c:pt idx="2">
                  <c:v>5</c:v>
                </c:pt>
                <c:pt idx="3">
                  <c:v>5</c:v>
                </c:pt>
                <c:pt idx="4">
                  <c:v>5</c:v>
                </c:pt>
              </c:numCache>
            </c:numRef>
          </c:val>
          <c:extLst>
            <c:ext xmlns:c16="http://schemas.microsoft.com/office/drawing/2014/chart" uri="{C3380CC4-5D6E-409C-BE32-E72D297353CC}">
              <c16:uniqueId val="{00000005-70AB-4A46-B57C-B167D09CE739}"/>
            </c:ext>
          </c:extLst>
        </c:ser>
        <c:ser>
          <c:idx val="4"/>
          <c:order val="6"/>
          <c:tx>
            <c:strRef>
              <c:f>Rezultati!$Q$17</c:f>
              <c:strCache>
                <c:ptCount val="1"/>
                <c:pt idx="0">
                  <c:v>4</c:v>
                </c:pt>
              </c:strCache>
            </c:strRef>
          </c:tx>
          <c:spPr>
            <a:noFill/>
            <a:ln>
              <a:solidFill>
                <a:schemeClr val="accent3"/>
              </a:solidFill>
            </a:ln>
          </c:spPr>
          <c:cat>
            <c:strRef>
              <c:f>Rezultati!$I$18:$I$22</c:f>
              <c:strCache>
                <c:ptCount val="5"/>
                <c:pt idx="0">
                  <c:v>Energetika</c:v>
                </c:pt>
                <c:pt idx="1">
                  <c:v>Upravljanje vodama</c:v>
                </c:pt>
                <c:pt idx="2">
                  <c:v>Prostorno planiranje</c:v>
                </c:pt>
                <c:pt idx="3">
                  <c:v>Ekologija voda</c:v>
                </c:pt>
                <c:pt idx="4">
                  <c:v>Zaštita prirode</c:v>
                </c:pt>
              </c:strCache>
            </c:strRef>
          </c:cat>
          <c:val>
            <c:numRef>
              <c:f>Rezultati!$Q$18:$Q$22</c:f>
              <c:numCache>
                <c:formatCode>0</c:formatCode>
                <c:ptCount val="5"/>
                <c:pt idx="0">
                  <c:v>4</c:v>
                </c:pt>
                <c:pt idx="1">
                  <c:v>4</c:v>
                </c:pt>
                <c:pt idx="2">
                  <c:v>4</c:v>
                </c:pt>
                <c:pt idx="3">
                  <c:v>4</c:v>
                </c:pt>
                <c:pt idx="4">
                  <c:v>4</c:v>
                </c:pt>
              </c:numCache>
            </c:numRef>
          </c:val>
          <c:extLst>
            <c:ext xmlns:c16="http://schemas.microsoft.com/office/drawing/2014/chart" uri="{C3380CC4-5D6E-409C-BE32-E72D297353CC}">
              <c16:uniqueId val="{00000006-70AB-4A46-B57C-B167D09CE739}"/>
            </c:ext>
          </c:extLst>
        </c:ser>
        <c:ser>
          <c:idx val="3"/>
          <c:order val="7"/>
          <c:tx>
            <c:strRef>
              <c:f>Rezultati!$P$17</c:f>
              <c:strCache>
                <c:ptCount val="1"/>
                <c:pt idx="0">
                  <c:v>3</c:v>
                </c:pt>
              </c:strCache>
            </c:strRef>
          </c:tx>
          <c:spPr>
            <a:noFill/>
            <a:ln>
              <a:solidFill>
                <a:schemeClr val="accent3"/>
              </a:solidFill>
            </a:ln>
          </c:spPr>
          <c:cat>
            <c:strRef>
              <c:f>Rezultati!$I$18:$I$22</c:f>
              <c:strCache>
                <c:ptCount val="5"/>
                <c:pt idx="0">
                  <c:v>Energetika</c:v>
                </c:pt>
                <c:pt idx="1">
                  <c:v>Upravljanje vodama</c:v>
                </c:pt>
                <c:pt idx="2">
                  <c:v>Prostorno planiranje</c:v>
                </c:pt>
                <c:pt idx="3">
                  <c:v>Ekologija voda</c:v>
                </c:pt>
                <c:pt idx="4">
                  <c:v>Zaštita prirode</c:v>
                </c:pt>
              </c:strCache>
            </c:strRef>
          </c:cat>
          <c:val>
            <c:numRef>
              <c:f>Rezultati!$P$18:$P$22</c:f>
              <c:numCache>
                <c:formatCode>0</c:formatCode>
                <c:ptCount val="5"/>
                <c:pt idx="0">
                  <c:v>3</c:v>
                </c:pt>
                <c:pt idx="1">
                  <c:v>3</c:v>
                </c:pt>
                <c:pt idx="2">
                  <c:v>3</c:v>
                </c:pt>
                <c:pt idx="3">
                  <c:v>3</c:v>
                </c:pt>
                <c:pt idx="4">
                  <c:v>3</c:v>
                </c:pt>
              </c:numCache>
            </c:numRef>
          </c:val>
          <c:extLst>
            <c:ext xmlns:c16="http://schemas.microsoft.com/office/drawing/2014/chart" uri="{C3380CC4-5D6E-409C-BE32-E72D297353CC}">
              <c16:uniqueId val="{00000007-70AB-4A46-B57C-B167D09CE739}"/>
            </c:ext>
          </c:extLst>
        </c:ser>
        <c:ser>
          <c:idx val="2"/>
          <c:order val="8"/>
          <c:tx>
            <c:strRef>
              <c:f>Rezultati!$O$17</c:f>
              <c:strCache>
                <c:ptCount val="1"/>
                <c:pt idx="0">
                  <c:v>2</c:v>
                </c:pt>
              </c:strCache>
            </c:strRef>
          </c:tx>
          <c:spPr>
            <a:noFill/>
            <a:ln>
              <a:solidFill>
                <a:schemeClr val="accent3"/>
              </a:solidFill>
            </a:ln>
          </c:spPr>
          <c:cat>
            <c:strRef>
              <c:f>Rezultati!$I$18:$I$22</c:f>
              <c:strCache>
                <c:ptCount val="5"/>
                <c:pt idx="0">
                  <c:v>Energetika</c:v>
                </c:pt>
                <c:pt idx="1">
                  <c:v>Upravljanje vodama</c:v>
                </c:pt>
                <c:pt idx="2">
                  <c:v>Prostorno planiranje</c:v>
                </c:pt>
                <c:pt idx="3">
                  <c:v>Ekologija voda</c:v>
                </c:pt>
                <c:pt idx="4">
                  <c:v>Zaštita prirode</c:v>
                </c:pt>
              </c:strCache>
            </c:strRef>
          </c:cat>
          <c:val>
            <c:numRef>
              <c:f>Rezultati!$O$18:$O$22</c:f>
              <c:numCache>
                <c:formatCode>0</c:formatCode>
                <c:ptCount val="5"/>
                <c:pt idx="0">
                  <c:v>2</c:v>
                </c:pt>
                <c:pt idx="1">
                  <c:v>2</c:v>
                </c:pt>
                <c:pt idx="2">
                  <c:v>2</c:v>
                </c:pt>
                <c:pt idx="3">
                  <c:v>2</c:v>
                </c:pt>
                <c:pt idx="4">
                  <c:v>2</c:v>
                </c:pt>
              </c:numCache>
            </c:numRef>
          </c:val>
          <c:extLst>
            <c:ext xmlns:c16="http://schemas.microsoft.com/office/drawing/2014/chart" uri="{C3380CC4-5D6E-409C-BE32-E72D297353CC}">
              <c16:uniqueId val="{00000008-70AB-4A46-B57C-B167D09CE739}"/>
            </c:ext>
          </c:extLst>
        </c:ser>
        <c:ser>
          <c:idx val="1"/>
          <c:order val="9"/>
          <c:tx>
            <c:strRef>
              <c:f>Rezultati!$N$17</c:f>
              <c:strCache>
                <c:ptCount val="1"/>
                <c:pt idx="0">
                  <c:v>1</c:v>
                </c:pt>
              </c:strCache>
            </c:strRef>
          </c:tx>
          <c:spPr>
            <a:noFill/>
            <a:ln>
              <a:solidFill>
                <a:schemeClr val="accent3"/>
              </a:solidFill>
            </a:ln>
          </c:spPr>
          <c:cat>
            <c:strRef>
              <c:f>Rezultati!$I$18:$I$22</c:f>
              <c:strCache>
                <c:ptCount val="5"/>
                <c:pt idx="0">
                  <c:v>Energetika</c:v>
                </c:pt>
                <c:pt idx="1">
                  <c:v>Upravljanje vodama</c:v>
                </c:pt>
                <c:pt idx="2">
                  <c:v>Prostorno planiranje</c:v>
                </c:pt>
                <c:pt idx="3">
                  <c:v>Ekologija voda</c:v>
                </c:pt>
                <c:pt idx="4">
                  <c:v>Zaštita prirode</c:v>
                </c:pt>
              </c:strCache>
            </c:strRef>
          </c:cat>
          <c:val>
            <c:numRef>
              <c:f>Rezultati!$N$18:$N$22</c:f>
              <c:numCache>
                <c:formatCode>0</c:formatCode>
                <c:ptCount val="5"/>
                <c:pt idx="0">
                  <c:v>1</c:v>
                </c:pt>
                <c:pt idx="1">
                  <c:v>1</c:v>
                </c:pt>
                <c:pt idx="2">
                  <c:v>1</c:v>
                </c:pt>
                <c:pt idx="3">
                  <c:v>1</c:v>
                </c:pt>
                <c:pt idx="4">
                  <c:v>1</c:v>
                </c:pt>
              </c:numCache>
            </c:numRef>
          </c:val>
          <c:extLst>
            <c:ext xmlns:c16="http://schemas.microsoft.com/office/drawing/2014/chart" uri="{C3380CC4-5D6E-409C-BE32-E72D297353CC}">
              <c16:uniqueId val="{00000009-70AB-4A46-B57C-B167D09CE739}"/>
            </c:ext>
          </c:extLst>
        </c:ser>
        <c:ser>
          <c:idx val="10"/>
          <c:order val="10"/>
          <c:tx>
            <c:v>leer</c:v>
          </c:tx>
          <c:spPr>
            <a:noFill/>
            <a:ln>
              <a:noFill/>
            </a:ln>
          </c:spPr>
          <c:dLbls>
            <c:spPr>
              <a:noFill/>
              <a:ln w="25400">
                <a:noFill/>
              </a:ln>
            </c:spPr>
            <c:showLegendKey val="0"/>
            <c:showVal val="1"/>
            <c:showCatName val="1"/>
            <c:showSerName val="1"/>
            <c:showPercent val="0"/>
            <c:showBubbleSize val="0"/>
            <c:showLeaderLines val="0"/>
            <c:extLst>
              <c:ext xmlns:c15="http://schemas.microsoft.com/office/drawing/2012/chart" uri="{CE6537A1-D6FC-4f65-9D91-7224C49458BB}">
                <c15:showLeaderLines val="0"/>
              </c:ext>
            </c:extLst>
          </c:dLbls>
          <c:cat>
            <c:strRef>
              <c:f>Rezultati!$I$18:$I$22</c:f>
              <c:strCache>
                <c:ptCount val="5"/>
                <c:pt idx="0">
                  <c:v>Energetika</c:v>
                </c:pt>
                <c:pt idx="1">
                  <c:v>Upravljanje vodama</c:v>
                </c:pt>
                <c:pt idx="2">
                  <c:v>Prostorno planiranje</c:v>
                </c:pt>
                <c:pt idx="3">
                  <c:v>Ekologija voda</c:v>
                </c:pt>
                <c:pt idx="4">
                  <c:v>Zaštita prirode</c:v>
                </c:pt>
              </c:strCache>
            </c:strRef>
          </c:cat>
          <c:val>
            <c:numRef>
              <c:f>Rezultati!$S$18:$S$22</c:f>
              <c:numCache>
                <c:formatCode>0</c:formatCode>
                <c:ptCount val="5"/>
                <c:pt idx="0">
                  <c:v>6</c:v>
                </c:pt>
                <c:pt idx="1">
                  <c:v>6</c:v>
                </c:pt>
                <c:pt idx="2">
                  <c:v>6</c:v>
                </c:pt>
                <c:pt idx="3">
                  <c:v>6</c:v>
                </c:pt>
                <c:pt idx="4">
                  <c:v>6</c:v>
                </c:pt>
              </c:numCache>
            </c:numRef>
          </c:val>
          <c:extLst>
            <c:ext xmlns:c16="http://schemas.microsoft.com/office/drawing/2014/chart" uri="{C3380CC4-5D6E-409C-BE32-E72D297353CC}">
              <c16:uniqueId val="{0000000A-70AB-4A46-B57C-B167D09CE739}"/>
            </c:ext>
          </c:extLst>
        </c:ser>
        <c:dLbls>
          <c:showLegendKey val="0"/>
          <c:showVal val="0"/>
          <c:showCatName val="0"/>
          <c:showSerName val="0"/>
          <c:showPercent val="0"/>
          <c:showBubbleSize val="0"/>
        </c:dLbls>
        <c:axId val="2033261007"/>
        <c:axId val="1"/>
      </c:radarChart>
      <c:catAx>
        <c:axId val="2033261007"/>
        <c:scaling>
          <c:orientation val="minMax"/>
        </c:scaling>
        <c:delete val="0"/>
        <c:axPos val="b"/>
        <c:majorGridlines>
          <c:spPr>
            <a:ln w="3175">
              <a:solidFill>
                <a:srgbClr val="808080"/>
              </a:solidFill>
              <a:prstDash val="solid"/>
            </a:ln>
          </c:spPr>
        </c:majorGridlines>
        <c:numFmt formatCode="General" sourceLinked="1"/>
        <c:majorTickMark val="out"/>
        <c:minorTickMark val="none"/>
        <c:tickLblPos val="none"/>
        <c:txPr>
          <a:bodyPr rot="0" vert="horz"/>
          <a:lstStyle/>
          <a:p>
            <a:pPr>
              <a:defRPr sz="1400" b="1" i="0" u="none" strike="noStrike" baseline="0">
                <a:solidFill>
                  <a:srgbClr val="000000"/>
                </a:solidFill>
                <a:latin typeface="Arial"/>
                <a:ea typeface="Arial"/>
                <a:cs typeface="Arial"/>
              </a:defRPr>
            </a:pPr>
            <a:endParaRPr lang="sr-Latn-RS"/>
          </a:p>
        </c:txPr>
        <c:crossAx val="1"/>
        <c:crosses val="autoZero"/>
        <c:auto val="0"/>
        <c:lblAlgn val="ctr"/>
        <c:lblOffset val="100"/>
        <c:noMultiLvlLbl val="0"/>
      </c:catAx>
      <c:valAx>
        <c:axId val="1"/>
        <c:scaling>
          <c:orientation val="minMax"/>
          <c:max val="5.9"/>
          <c:min val="0"/>
        </c:scaling>
        <c:delete val="0"/>
        <c:axPos val="l"/>
        <c:numFmt formatCode="General" sourceLinked="1"/>
        <c:majorTickMark val="none"/>
        <c:minorTickMark val="none"/>
        <c:tickLblPos val="nextTo"/>
        <c:spPr>
          <a:ln w="3175">
            <a:solidFill>
              <a:srgbClr val="808080"/>
            </a:solidFill>
            <a:prstDash val="solid"/>
          </a:ln>
        </c:spPr>
        <c:txPr>
          <a:bodyPr/>
          <a:lstStyle/>
          <a:p>
            <a:pPr>
              <a:defRPr b="0"/>
            </a:pPr>
            <a:endParaRPr lang="sr-Latn-RS"/>
          </a:p>
        </c:txPr>
        <c:crossAx val="2033261007"/>
        <c:crosses val="autoZero"/>
        <c:crossBetween val="between"/>
        <c:majorUnit val="1"/>
      </c:valAx>
      <c:spPr>
        <a:noFill/>
        <a:ln w="25400">
          <a:noFill/>
        </a:ln>
      </c:spPr>
    </c:plotArea>
    <c:plotVisOnly val="1"/>
    <c:dispBlanksAs val="gap"/>
    <c:showDLblsOverMax val="0"/>
  </c:chart>
  <c:spPr>
    <a:solidFill>
      <a:schemeClr val="bg1">
        <a:lumMod val="85000"/>
      </a:schemeClr>
    </a:solidFill>
    <a:ln w="19050">
      <a:solidFill>
        <a:schemeClr val="tx1"/>
      </a:solidFill>
      <a:prstDash val="solid"/>
    </a:ln>
  </c:spPr>
  <c:txPr>
    <a:bodyPr/>
    <a:lstStyle/>
    <a:p>
      <a:pPr>
        <a:defRPr sz="1400" b="1" i="0" u="none" strike="noStrike" baseline="0">
          <a:solidFill>
            <a:srgbClr val="000000"/>
          </a:solidFill>
          <a:latin typeface="Arial"/>
          <a:ea typeface="Arial"/>
          <a:cs typeface="Arial"/>
        </a:defRPr>
      </a:pPr>
      <a:endParaRPr lang="sr-Latn-RS"/>
    </a:p>
  </c:txPr>
  <c:printSettings>
    <c:headerFooter alignWithMargins="0"/>
    <c:pageMargins b="0.78740157499999996" l="0.70000000000000029" r="0.70000000000000029" t="0.78740157499999996" header="0.30000000000000016" footer="0.30000000000000016"/>
    <c:pageSetup orientation="portrait"/>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12700</xdr:colOff>
      <xdr:row>14</xdr:row>
      <xdr:rowOff>0</xdr:rowOff>
    </xdr:from>
    <xdr:to>
      <xdr:col>6</xdr:col>
      <xdr:colOff>12700</xdr:colOff>
      <xdr:row>47</xdr:row>
      <xdr:rowOff>127000</xdr:rowOff>
    </xdr:to>
    <xdr:graphicFrame macro="">
      <xdr:nvGraphicFramePr>
        <xdr:cNvPr id="71681" name="Diagramm 1">
          <a:extLst>
            <a:ext uri="{FF2B5EF4-FFF2-40B4-BE49-F238E27FC236}">
              <a16:creationId xmlns:a16="http://schemas.microsoft.com/office/drawing/2014/main" id="{86E640E9-6C3C-CC48-94F0-1B5DDD7DAA9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0.8428</cdr:x>
      <cdr:y>0.20851</cdr:y>
    </cdr:from>
    <cdr:to>
      <cdr:x>0.99924</cdr:x>
      <cdr:y>0.3309</cdr:y>
    </cdr:to>
    <cdr:sp macro="" textlink="">
      <cdr:nvSpPr>
        <cdr:cNvPr id="2" name="Textfeld 1"/>
        <cdr:cNvSpPr txBox="1"/>
      </cdr:nvSpPr>
      <cdr:spPr>
        <a:xfrm xmlns:a="http://schemas.openxmlformats.org/drawingml/2006/main">
          <a:off x="8368393" y="642560"/>
          <a:ext cx="914400" cy="914400"/>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endParaRPr lang="de-DE"/>
        </a:p>
      </cdr:txBody>
    </cdr:sp>
  </cdr:relSizeAnchor>
  <cdr:relSizeAnchor xmlns:cdr="http://schemas.openxmlformats.org/drawingml/2006/chartDrawing">
    <cdr:from>
      <cdr:x>0.37855</cdr:x>
      <cdr:y>0.11167</cdr:y>
    </cdr:from>
    <cdr:to>
      <cdr:x>0.59481</cdr:x>
      <cdr:y>0.17764</cdr:y>
    </cdr:to>
    <cdr:sp macro="" textlink="Rezultati!$C$8">
      <cdr:nvSpPr>
        <cdr:cNvPr id="3" name="Textfeld 2">
          <a:extLst xmlns:a="http://schemas.openxmlformats.org/drawingml/2006/main">
            <a:ext uri="{FF2B5EF4-FFF2-40B4-BE49-F238E27FC236}">
              <a16:creationId xmlns:a16="http://schemas.microsoft.com/office/drawing/2014/main" id="{7BB64E7A-79D7-264B-A288-4339CE6DE363}"/>
            </a:ext>
          </a:extLst>
        </cdr:cNvPr>
        <cdr:cNvSpPr txBox="1"/>
      </cdr:nvSpPr>
      <cdr:spPr>
        <a:xfrm xmlns:a="http://schemas.openxmlformats.org/drawingml/2006/main">
          <a:off x="2278814" y="710499"/>
          <a:ext cx="1301843" cy="419801"/>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algn="ctr"/>
          <a:fld id="{4E100E8F-4DC9-6546-BB9A-6B7DECAB5E92}" type="TxLink">
            <a:rPr lang="en-US" sz="1000" b="1" i="0" u="none" strike="noStrike">
              <a:solidFill>
                <a:srgbClr val="000000"/>
              </a:solidFill>
              <a:latin typeface="Arial"/>
              <a:cs typeface="Arial"/>
            </a:rPr>
            <a:pPr algn="ctr"/>
            <a:t>Energetika</a:t>
          </a:fld>
          <a:endParaRPr lang="de-DE" sz="1000"/>
        </a:p>
      </cdr:txBody>
    </cdr:sp>
  </cdr:relSizeAnchor>
  <cdr:relSizeAnchor xmlns:cdr="http://schemas.openxmlformats.org/drawingml/2006/chartDrawing">
    <cdr:from>
      <cdr:x>0.13713</cdr:x>
      <cdr:y>0.90296</cdr:y>
    </cdr:from>
    <cdr:to>
      <cdr:x>0.31315</cdr:x>
      <cdr:y>0.9481</cdr:y>
    </cdr:to>
    <cdr:sp macro="" textlink="Rezultati!$C$11">
      <cdr:nvSpPr>
        <cdr:cNvPr id="6" name="Textfeld 1">
          <a:extLst xmlns:a="http://schemas.openxmlformats.org/drawingml/2006/main">
            <a:ext uri="{FF2B5EF4-FFF2-40B4-BE49-F238E27FC236}">
              <a16:creationId xmlns:a16="http://schemas.microsoft.com/office/drawing/2014/main" id="{C51EB565-6AE3-AC45-94CE-A2754BE23329}"/>
            </a:ext>
          </a:extLst>
        </cdr:cNvPr>
        <cdr:cNvSpPr txBox="1"/>
      </cdr:nvSpPr>
      <cdr:spPr>
        <a:xfrm xmlns:a="http://schemas.openxmlformats.org/drawingml/2006/main">
          <a:off x="825500" y="5745236"/>
          <a:ext cx="1059614" cy="28726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26C61D31-5494-5646-A55B-E03F6632C41C}" type="TxLink">
            <a:rPr lang="en-US" sz="1000" b="1" i="0" u="none" strike="noStrike">
              <a:solidFill>
                <a:srgbClr val="000000"/>
              </a:solidFill>
              <a:latin typeface="Arial"/>
              <a:cs typeface="Arial"/>
            </a:rPr>
            <a:pPr algn="ctr"/>
            <a:t>Ekologija voda</a:t>
          </a:fld>
          <a:endParaRPr lang="de-DE" sz="1000"/>
        </a:p>
      </cdr:txBody>
    </cdr:sp>
  </cdr:relSizeAnchor>
  <cdr:relSizeAnchor xmlns:cdr="http://schemas.openxmlformats.org/drawingml/2006/chartDrawing">
    <cdr:from>
      <cdr:x>0.64448</cdr:x>
      <cdr:y>0.89675</cdr:y>
    </cdr:from>
    <cdr:to>
      <cdr:x>0.82489</cdr:x>
      <cdr:y>0.94212</cdr:y>
    </cdr:to>
    <cdr:sp macro="" textlink="Rezultati!$C$10">
      <cdr:nvSpPr>
        <cdr:cNvPr id="7" name="Textfeld 1">
          <a:extLst xmlns:a="http://schemas.openxmlformats.org/drawingml/2006/main">
            <a:ext uri="{FF2B5EF4-FFF2-40B4-BE49-F238E27FC236}">
              <a16:creationId xmlns:a16="http://schemas.microsoft.com/office/drawing/2014/main" id="{C51EB565-6AE3-AC45-94CE-A2754BE23329}"/>
            </a:ext>
          </a:extLst>
        </cdr:cNvPr>
        <cdr:cNvSpPr txBox="1"/>
      </cdr:nvSpPr>
      <cdr:spPr>
        <a:xfrm xmlns:a="http://schemas.openxmlformats.org/drawingml/2006/main">
          <a:off x="3879633" y="5705757"/>
          <a:ext cx="1086067" cy="28864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A0D1E657-6AD9-2E4D-B972-230FBEDD359F}" type="TxLink">
            <a:rPr lang="en-US" sz="1000" b="1" i="0" u="none" strike="noStrike">
              <a:solidFill>
                <a:srgbClr val="000000"/>
              </a:solidFill>
              <a:latin typeface="Arial"/>
              <a:cs typeface="Arial"/>
            </a:rPr>
            <a:pPr algn="ctr"/>
            <a:t>Prostorno uređenje</a:t>
          </a:fld>
          <a:r>
            <a:rPr lang="en-US" sz="1000" b="1" i="0" u="none" strike="noStrike">
              <a:solidFill>
                <a:srgbClr val="000000"/>
              </a:solidFill>
              <a:latin typeface="Arial"/>
              <a:cs typeface="Arial"/>
            </a:rPr>
            <a:t>*</a:t>
          </a:r>
          <a:endParaRPr lang="de-DE" sz="1000"/>
        </a:p>
      </cdr:txBody>
    </cdr:sp>
  </cdr:relSizeAnchor>
  <cdr:relSizeAnchor xmlns:cdr="http://schemas.openxmlformats.org/drawingml/2006/chartDrawing">
    <cdr:from>
      <cdr:x>0</cdr:x>
      <cdr:y>0.36837</cdr:y>
    </cdr:from>
    <cdr:to>
      <cdr:x>0.18188</cdr:x>
      <cdr:y>0.41717</cdr:y>
    </cdr:to>
    <cdr:sp macro="" textlink="Rezultati!$C$12">
      <cdr:nvSpPr>
        <cdr:cNvPr id="8" name="Textfeld 1">
          <a:extLst xmlns:a="http://schemas.openxmlformats.org/drawingml/2006/main">
            <a:ext uri="{FF2B5EF4-FFF2-40B4-BE49-F238E27FC236}">
              <a16:creationId xmlns:a16="http://schemas.microsoft.com/office/drawing/2014/main" id="{C51EB565-6AE3-AC45-94CE-A2754BE23329}"/>
            </a:ext>
          </a:extLst>
        </cdr:cNvPr>
        <cdr:cNvSpPr txBox="1"/>
      </cdr:nvSpPr>
      <cdr:spPr>
        <a:xfrm xmlns:a="http://schemas.openxmlformats.org/drawingml/2006/main">
          <a:off x="0" y="2343850"/>
          <a:ext cx="1094864" cy="310449"/>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E6F64360-255B-FB43-9725-B4FEFB0B1005}" type="TxLink">
            <a:rPr lang="en-US" sz="1000" b="1" i="0" u="none" strike="noStrike">
              <a:solidFill>
                <a:srgbClr val="000000"/>
              </a:solidFill>
              <a:latin typeface="Arial"/>
              <a:cs typeface="Arial"/>
            </a:rPr>
            <a:pPr algn="ctr"/>
            <a:t>Zaštita prirode</a:t>
          </a:fld>
          <a:endParaRPr lang="de-DE" sz="1000"/>
        </a:p>
      </cdr:txBody>
    </cdr:sp>
  </cdr:relSizeAnchor>
  <cdr:relSizeAnchor xmlns:cdr="http://schemas.openxmlformats.org/drawingml/2006/chartDrawing">
    <cdr:from>
      <cdr:x>0.78374</cdr:x>
      <cdr:y>0.37614</cdr:y>
    </cdr:from>
    <cdr:to>
      <cdr:x>1</cdr:x>
      <cdr:y>0.41885</cdr:y>
    </cdr:to>
    <cdr:sp macro="" textlink="Rezultati!$C$9">
      <cdr:nvSpPr>
        <cdr:cNvPr id="9" name="Textfeld 1">
          <a:extLst xmlns:a="http://schemas.openxmlformats.org/drawingml/2006/main">
            <a:ext uri="{FF2B5EF4-FFF2-40B4-BE49-F238E27FC236}">
              <a16:creationId xmlns:a16="http://schemas.microsoft.com/office/drawing/2014/main" id="{C51EB565-6AE3-AC45-94CE-A2754BE23329}"/>
            </a:ext>
          </a:extLst>
        </cdr:cNvPr>
        <cdr:cNvSpPr txBox="1"/>
      </cdr:nvSpPr>
      <cdr:spPr>
        <a:xfrm xmlns:a="http://schemas.openxmlformats.org/drawingml/2006/main">
          <a:off x="4717957" y="2393272"/>
          <a:ext cx="1301843" cy="271717"/>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pPr algn="ctr"/>
          <a:fld id="{A751F147-379E-784F-9E1A-0ACE5B8098BA}" type="TxLink">
            <a:rPr lang="en-US" sz="1000" b="1" i="0" u="none" strike="noStrike">
              <a:solidFill>
                <a:srgbClr val="000000"/>
              </a:solidFill>
              <a:latin typeface="Arial"/>
              <a:cs typeface="Arial"/>
            </a:rPr>
            <a:pPr algn="ctr"/>
            <a:t>Upravljanje vodama</a:t>
          </a:fld>
          <a:endParaRPr lang="de-DE" sz="1000"/>
        </a:p>
      </cdr:txBody>
    </cdr:sp>
  </cdr:relSizeAnchor>
</c:userShapes>
</file>

<file path=xl/drawings/drawing3.xml><?xml version="1.0" encoding="utf-8"?>
<xdr:wsDr xmlns:xdr="http://schemas.openxmlformats.org/drawingml/2006/spreadsheetDrawing" xmlns:a="http://schemas.openxmlformats.org/drawingml/2006/main">
  <xdr:twoCellAnchor>
    <xdr:from>
      <xdr:col>11</xdr:col>
      <xdr:colOff>231321</xdr:colOff>
      <xdr:row>7</xdr:row>
      <xdr:rowOff>208643</xdr:rowOff>
    </xdr:from>
    <xdr:to>
      <xdr:col>12</xdr:col>
      <xdr:colOff>22679</xdr:colOff>
      <xdr:row>20</xdr:row>
      <xdr:rowOff>408217</xdr:rowOff>
    </xdr:to>
    <xdr:sp macro="" textlink="">
      <xdr:nvSpPr>
        <xdr:cNvPr id="2" name="Dreieck 1">
          <a:extLst>
            <a:ext uri="{FF2B5EF4-FFF2-40B4-BE49-F238E27FC236}">
              <a16:creationId xmlns:a16="http://schemas.microsoft.com/office/drawing/2014/main" id="{4200FE58-DF3A-7542-92EF-786C872ADBCF}"/>
            </a:ext>
          </a:extLst>
        </xdr:cNvPr>
        <xdr:cNvSpPr/>
      </xdr:nvSpPr>
      <xdr:spPr>
        <a:xfrm rot="5400000">
          <a:off x="10341427" y="3342823"/>
          <a:ext cx="3800931" cy="616858"/>
        </a:xfrm>
        <a:prstGeom prst="triangle">
          <a:avLst/>
        </a:prstGeom>
        <a:solidFill>
          <a:schemeClr val="bg1">
            <a:lumMod val="50000"/>
          </a:scheme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de-DE"/>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3.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7.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42.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6"/>
  <dimension ref="B3:G35"/>
  <sheetViews>
    <sheetView showGridLines="0" zoomScale="90" zoomScaleNormal="90" workbookViewId="0">
      <selection activeCell="H15" sqref="H15"/>
    </sheetView>
  </sheetViews>
  <sheetFormatPr defaultColWidth="10.875" defaultRowHeight="15" x14ac:dyDescent="0.2"/>
  <cols>
    <col min="1" max="16384" width="10.875" style="80"/>
  </cols>
  <sheetData>
    <row r="3" spans="2:2" ht="23.25" x14ac:dyDescent="0.35">
      <c r="B3" s="483" t="s">
        <v>528</v>
      </c>
    </row>
    <row r="6" spans="2:2" ht="18" x14ac:dyDescent="0.25">
      <c r="B6" s="484" t="s">
        <v>527</v>
      </c>
    </row>
    <row r="8" spans="2:2" x14ac:dyDescent="0.2">
      <c r="B8" s="80" t="s">
        <v>519</v>
      </c>
    </row>
    <row r="9" spans="2:2" x14ac:dyDescent="0.2">
      <c r="B9" s="80" t="s">
        <v>520</v>
      </c>
    </row>
    <row r="20" spans="2:6" ht="15.75" x14ac:dyDescent="0.25">
      <c r="B20" s="501" t="s">
        <v>38</v>
      </c>
    </row>
    <row r="21" spans="2:6" ht="15.75" thickBot="1" x14ac:dyDescent="0.25"/>
    <row r="22" spans="2:6" ht="33.950000000000003" customHeight="1" thickBot="1" x14ac:dyDescent="0.25">
      <c r="B22" s="499" t="s">
        <v>39</v>
      </c>
      <c r="C22" s="495"/>
      <c r="D22" s="495"/>
      <c r="E22" s="495"/>
      <c r="F22" s="496"/>
    </row>
    <row r="23" spans="2:6" ht="15.75" thickBot="1" x14ac:dyDescent="0.25"/>
    <row r="24" spans="2:6" ht="33.950000000000003" customHeight="1" thickBot="1" x14ac:dyDescent="0.25">
      <c r="B24" s="500" t="s">
        <v>40</v>
      </c>
      <c r="C24" s="497"/>
      <c r="D24" s="497"/>
      <c r="E24" s="497"/>
      <c r="F24" s="498"/>
    </row>
    <row r="35" spans="7:7" ht="15.75" x14ac:dyDescent="0.25">
      <c r="G35"/>
    </row>
  </sheetData>
  <sheetProtection algorithmName="SHA-512" hashValue="vLUMc/E5AEKhs5b5UM3qu/pPN1Y2kMpFWyZH8ZDOYeigD7iorxueGK34FO6BQTyjmij5suvpvI7XlFZOty4hXg==" saltValue="wRDrHOU45OyNMLejEkgPhQ==" spinCount="100000" sheet="1" objects="1" scenarios="1"/>
  <pageMargins left="0.7" right="0.7" top="0.78740157499999996" bottom="0.78740157499999996" header="0.3" footer="0.3"/>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Tabelle10"/>
  <dimension ref="A1:J19"/>
  <sheetViews>
    <sheetView showGridLines="0" zoomScaleNormal="100" workbookViewId="0">
      <selection activeCell="D22" sqref="D22"/>
    </sheetView>
  </sheetViews>
  <sheetFormatPr defaultColWidth="11" defaultRowHeight="15.75" outlineLevelCol="1" x14ac:dyDescent="0.25"/>
  <cols>
    <col min="1" max="2" width="3.875" style="80" customWidth="1"/>
    <col min="3" max="3" width="9.375" style="80" customWidth="1"/>
    <col min="4" max="4" width="84.125" style="80" customWidth="1"/>
    <col min="5" max="5" width="3.875" style="80" customWidth="1"/>
    <col min="6" max="7" width="10.875" style="80"/>
    <col min="8" max="8" width="10.875" style="80" hidden="1" customWidth="1" outlineLevel="1"/>
    <col min="9" max="9" width="10.875" style="80" collapsed="1"/>
    <col min="10" max="10" width="10.875" style="80"/>
  </cols>
  <sheetData>
    <row r="1" spans="1:8" ht="16.5" thickBot="1" x14ac:dyDescent="0.3">
      <c r="A1" s="1"/>
      <c r="B1" s="1"/>
      <c r="C1" s="24"/>
      <c r="D1" s="1"/>
      <c r="E1" s="1"/>
    </row>
    <row r="2" spans="1:8" ht="17.100000000000001" customHeight="1" x14ac:dyDescent="0.25">
      <c r="A2" s="1"/>
      <c r="B2" s="6"/>
      <c r="C2" s="10"/>
      <c r="D2" s="11"/>
      <c r="E2" s="20"/>
      <c r="H2" s="80" t="s">
        <v>511</v>
      </c>
    </row>
    <row r="3" spans="1:8" ht="17.100000000000001" customHeight="1" x14ac:dyDescent="0.25">
      <c r="A3" s="1"/>
      <c r="B3" s="7"/>
      <c r="C3" s="796" t="s">
        <v>147</v>
      </c>
      <c r="D3" s="796"/>
      <c r="E3" s="30"/>
      <c r="H3" s="80">
        <v>0</v>
      </c>
    </row>
    <row r="4" spans="1:8" ht="17.100000000000001" customHeight="1" thickBot="1" x14ac:dyDescent="0.3">
      <c r="A4" s="1"/>
      <c r="B4" s="31"/>
      <c r="C4" s="32"/>
      <c r="D4" s="32"/>
      <c r="E4" s="23"/>
      <c r="H4" s="80">
        <v>1</v>
      </c>
    </row>
    <row r="5" spans="1:8" ht="17.100000000000001" customHeight="1" thickBot="1" x14ac:dyDescent="0.3">
      <c r="A5" s="1"/>
      <c r="B5" s="1"/>
      <c r="C5" s="26"/>
      <c r="D5" s="26"/>
      <c r="E5" s="1"/>
      <c r="H5" s="80">
        <v>2</v>
      </c>
    </row>
    <row r="6" spans="1:8" ht="17.100000000000001" customHeight="1" thickBot="1" x14ac:dyDescent="0.3">
      <c r="A6" s="1"/>
      <c r="B6" s="6"/>
      <c r="C6" s="10"/>
      <c r="D6" s="11"/>
      <c r="E6" s="20"/>
      <c r="H6" s="80">
        <v>3</v>
      </c>
    </row>
    <row r="7" spans="1:8" ht="17.100000000000001" customHeight="1" thickBot="1" x14ac:dyDescent="0.3">
      <c r="A7" s="2"/>
      <c r="B7" s="8"/>
      <c r="C7" s="106" t="s">
        <v>493</v>
      </c>
      <c r="D7" s="108" t="s">
        <v>148</v>
      </c>
      <c r="E7" s="22"/>
      <c r="H7" s="80">
        <v>4</v>
      </c>
    </row>
    <row r="8" spans="1:8" ht="33.950000000000003" customHeight="1" thickBot="1" x14ac:dyDescent="0.3">
      <c r="A8" s="1"/>
      <c r="B8" s="7"/>
      <c r="C8" s="110">
        <v>0</v>
      </c>
      <c r="D8" s="111" t="s">
        <v>154</v>
      </c>
      <c r="E8" s="21"/>
      <c r="H8" s="80">
        <v>5</v>
      </c>
    </row>
    <row r="9" spans="1:8" ht="33.950000000000003" customHeight="1" thickBot="1" x14ac:dyDescent="0.3">
      <c r="A9" s="1"/>
      <c r="B9" s="7"/>
      <c r="C9" s="110">
        <v>1</v>
      </c>
      <c r="D9" s="111" t="s">
        <v>155</v>
      </c>
      <c r="E9" s="21"/>
      <c r="H9" s="80" t="s">
        <v>82</v>
      </c>
    </row>
    <row r="10" spans="1:8" ht="33.950000000000003" customHeight="1" thickBot="1" x14ac:dyDescent="0.3">
      <c r="A10" s="1"/>
      <c r="B10" s="7"/>
      <c r="C10" s="110">
        <v>2</v>
      </c>
      <c r="D10" s="111" t="s">
        <v>156</v>
      </c>
      <c r="E10" s="21"/>
    </row>
    <row r="11" spans="1:8" ht="33.950000000000003" customHeight="1" thickBot="1" x14ac:dyDescent="0.3">
      <c r="A11" s="1"/>
      <c r="B11" s="7"/>
      <c r="C11" s="110">
        <v>3</v>
      </c>
      <c r="D11" s="111" t="s">
        <v>157</v>
      </c>
      <c r="E11" s="21"/>
    </row>
    <row r="12" spans="1:8" ht="33.950000000000003" customHeight="1" thickBot="1" x14ac:dyDescent="0.3">
      <c r="A12" s="1"/>
      <c r="B12" s="7"/>
      <c r="C12" s="110">
        <v>4</v>
      </c>
      <c r="D12" s="111" t="s">
        <v>158</v>
      </c>
      <c r="E12" s="21"/>
    </row>
    <row r="13" spans="1:8" ht="33.950000000000003" customHeight="1" thickBot="1" x14ac:dyDescent="0.3">
      <c r="A13" s="1"/>
      <c r="B13" s="7"/>
      <c r="C13" s="109">
        <v>5</v>
      </c>
      <c r="D13" s="107" t="s">
        <v>159</v>
      </c>
      <c r="E13" s="21"/>
    </row>
    <row r="14" spans="1:8" ht="17.100000000000001" customHeight="1" thickBot="1" x14ac:dyDescent="0.3">
      <c r="A14" s="1"/>
      <c r="B14" s="7"/>
      <c r="C14" s="37"/>
      <c r="D14" s="37"/>
      <c r="E14" s="21"/>
    </row>
    <row r="15" spans="1:8" ht="33.950000000000003" customHeight="1" thickBot="1" x14ac:dyDescent="0.3">
      <c r="A15" s="1"/>
      <c r="B15" s="7"/>
      <c r="C15" s="694" t="s">
        <v>82</v>
      </c>
      <c r="D15" s="112" t="s">
        <v>494</v>
      </c>
      <c r="E15" s="21"/>
    </row>
    <row r="16" spans="1:8" ht="16.5" thickBot="1" x14ac:dyDescent="0.3">
      <c r="A16" s="1"/>
      <c r="B16" s="31"/>
      <c r="C16" s="41"/>
      <c r="D16" s="19"/>
      <c r="E16" s="23"/>
    </row>
    <row r="17" spans="1:5" ht="18" x14ac:dyDescent="0.25">
      <c r="A17" s="1"/>
      <c r="B17" s="1"/>
      <c r="C17" s="26"/>
      <c r="D17" s="26"/>
      <c r="E17" s="1"/>
    </row>
    <row r="19" spans="1:5" ht="23.25" x14ac:dyDescent="0.35">
      <c r="B19" s="84"/>
    </row>
  </sheetData>
  <sheetProtection algorithmName="SHA-512" hashValue="7V6Jlv8+fyzv8+21VLHWosNjbraRVCxvZmnQv8NQI1ZzNWbLbbSXS+08kY1rwDfLIjfchjzuRwjW4sWOLf5nwQ==" saltValue="zoYqtgY2Pw6tu9fON+5ZXg==" spinCount="100000" sheet="1" objects="1" scenarios="1"/>
  <mergeCells count="1">
    <mergeCell ref="C3:D3"/>
  </mergeCells>
  <conditionalFormatting sqref="C15">
    <cfRule type="expression" dxfId="228" priority="1">
      <formula>$C$15&lt;&gt;$H$9</formula>
    </cfRule>
  </conditionalFormatting>
  <dataValidations count="1">
    <dataValidation type="list" allowBlank="1" showInputMessage="1" showErrorMessage="1" errorTitle="Wrong value!" error="Only integer values between 0 and 5 allowed." prompt="Izaberite " sqref="C15" xr:uid="{00000000-0002-0000-0A00-000000000000}">
      <formula1>$H$3:$H$9</formula1>
    </dataValidation>
  </dataValidations>
  <pageMargins left="0.7" right="0.7" top="0.78740157499999996" bottom="0.78740157499999996"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Tabelle11"/>
  <dimension ref="A1:AK55"/>
  <sheetViews>
    <sheetView showGridLines="0" zoomScaleNormal="100" workbookViewId="0">
      <selection activeCell="N19" sqref="N19"/>
    </sheetView>
  </sheetViews>
  <sheetFormatPr defaultColWidth="11" defaultRowHeight="15.75" outlineLevelCol="1" x14ac:dyDescent="0.25"/>
  <cols>
    <col min="1" max="2" width="3.875" style="80" customWidth="1"/>
    <col min="3" max="3" width="18.125" style="80" customWidth="1"/>
    <col min="4" max="4" width="3.875" style="80" customWidth="1"/>
    <col min="5" max="5" width="19.375" style="80" customWidth="1"/>
    <col min="6" max="6" width="3.875" style="80" customWidth="1"/>
    <col min="7" max="7" width="15.625" style="80" customWidth="1"/>
    <col min="8" max="8" width="3.875" style="80" customWidth="1"/>
    <col min="9" max="9" width="15.625" style="80" customWidth="1"/>
    <col min="10" max="10" width="3.875" style="80" customWidth="1"/>
    <col min="11" max="11" width="9" style="80" customWidth="1"/>
    <col min="12" max="12" width="3.875" style="80" customWidth="1"/>
    <col min="14" max="14" width="7.5" customWidth="1" outlineLevel="1"/>
    <col min="15" max="15" width="13.375" customWidth="1" outlineLevel="1"/>
    <col min="16" max="17" width="7.5" customWidth="1" outlineLevel="1"/>
    <col min="18" max="18" width="3.875" customWidth="1" outlineLevel="1"/>
    <col min="19" max="19" width="7.5" customWidth="1" outlineLevel="1"/>
    <col min="20" max="20" width="13.375" customWidth="1" outlineLevel="1"/>
    <col min="21" max="22" width="7.5" customWidth="1" outlineLevel="1"/>
    <col min="23" max="23" width="3.875" customWidth="1" outlineLevel="1"/>
    <col min="24" max="24" width="7.5" customWidth="1" outlineLevel="1"/>
    <col min="25" max="25" width="13.375" customWidth="1" outlineLevel="1"/>
    <col min="26" max="27" width="7.5" customWidth="1" outlineLevel="1"/>
    <col min="28" max="28" width="3.875" customWidth="1" outlineLevel="1"/>
    <col min="29" max="29" width="7.5" customWidth="1" outlineLevel="1"/>
    <col min="30" max="30" width="13.375" customWidth="1" outlineLevel="1"/>
    <col min="31" max="32" width="7.5" customWidth="1" outlineLevel="1"/>
    <col min="33" max="33" width="3.875" customWidth="1" outlineLevel="1"/>
    <col min="34" max="34" width="8.375" customWidth="1" outlineLevel="1"/>
    <col min="35" max="35" width="10.875" customWidth="1" outlineLevel="1"/>
    <col min="36" max="36" width="8.375" customWidth="1" outlineLevel="1"/>
    <col min="37" max="37" width="10.875" customWidth="1" outlineLevel="1"/>
  </cols>
  <sheetData>
    <row r="1" spans="1:37" ht="16.5" thickBot="1" x14ac:dyDescent="0.3">
      <c r="A1" s="1"/>
      <c r="B1" s="1"/>
      <c r="C1" s="24"/>
      <c r="D1" s="1"/>
      <c r="E1" s="25"/>
      <c r="F1" s="1"/>
      <c r="G1" s="24"/>
      <c r="H1" s="1"/>
      <c r="I1" s="1"/>
      <c r="J1" s="1"/>
    </row>
    <row r="2" spans="1:37" ht="16.5" thickBot="1" x14ac:dyDescent="0.3">
      <c r="A2" s="1"/>
      <c r="B2" s="53"/>
      <c r="C2" s="54"/>
      <c r="D2" s="54"/>
      <c r="E2" s="54"/>
      <c r="F2" s="54"/>
      <c r="G2" s="54"/>
      <c r="H2" s="54"/>
      <c r="I2" s="54"/>
      <c r="J2" s="54"/>
      <c r="K2" s="54"/>
      <c r="L2" s="55"/>
      <c r="N2" s="809" t="s">
        <v>172</v>
      </c>
      <c r="O2" s="810"/>
      <c r="P2" s="810"/>
      <c r="Q2" s="810"/>
      <c r="R2" s="810"/>
      <c r="S2" s="810"/>
      <c r="T2" s="810"/>
      <c r="U2" s="810"/>
      <c r="V2" s="811"/>
      <c r="X2" s="809" t="s">
        <v>175</v>
      </c>
      <c r="Y2" s="810"/>
      <c r="Z2" s="810"/>
      <c r="AA2" s="810"/>
      <c r="AB2" s="810"/>
      <c r="AC2" s="810"/>
      <c r="AD2" s="810"/>
      <c r="AE2" s="810"/>
      <c r="AF2" s="811"/>
      <c r="AH2" s="809" t="s">
        <v>176</v>
      </c>
      <c r="AI2" s="810"/>
      <c r="AJ2" s="810"/>
      <c r="AK2" s="811"/>
    </row>
    <row r="3" spans="1:37" ht="16.5" thickBot="1" x14ac:dyDescent="0.3">
      <c r="A3" s="1"/>
      <c r="B3" s="56"/>
      <c r="C3" s="34" t="s">
        <v>160</v>
      </c>
      <c r="D3" s="34"/>
      <c r="E3" s="34"/>
      <c r="F3" s="34"/>
      <c r="G3" s="34"/>
      <c r="H3" s="34"/>
      <c r="I3" s="34"/>
      <c r="J3" s="34"/>
      <c r="K3" s="34"/>
      <c r="L3" s="57"/>
      <c r="N3" s="812" t="s">
        <v>174</v>
      </c>
      <c r="O3" s="813"/>
      <c r="P3" s="814"/>
      <c r="Q3" s="170" t="s">
        <v>493</v>
      </c>
      <c r="R3" s="157"/>
      <c r="S3" s="812" t="s">
        <v>174</v>
      </c>
      <c r="T3" s="813"/>
      <c r="U3" s="814"/>
      <c r="V3" s="170" t="s">
        <v>493</v>
      </c>
      <c r="X3" s="812" t="s">
        <v>174</v>
      </c>
      <c r="Y3" s="813"/>
      <c r="Z3" s="814"/>
      <c r="AA3" s="170" t="s">
        <v>493</v>
      </c>
      <c r="AB3" s="157"/>
      <c r="AC3" s="812" t="s">
        <v>174</v>
      </c>
      <c r="AD3" s="813"/>
      <c r="AE3" s="814"/>
      <c r="AF3" s="170" t="s">
        <v>493</v>
      </c>
      <c r="AH3" s="797" t="s">
        <v>174</v>
      </c>
      <c r="AI3" s="798"/>
      <c r="AJ3" s="799"/>
      <c r="AK3" s="86" t="s">
        <v>493</v>
      </c>
    </row>
    <row r="4" spans="1:37" ht="16.5" thickBot="1" x14ac:dyDescent="0.3">
      <c r="A4" s="1"/>
      <c r="B4" s="58"/>
      <c r="C4" s="59"/>
      <c r="D4" s="59"/>
      <c r="E4" s="59"/>
      <c r="F4" s="59"/>
      <c r="G4" s="59"/>
      <c r="H4" s="59"/>
      <c r="I4" s="59"/>
      <c r="J4" s="59"/>
      <c r="K4" s="59"/>
      <c r="L4" s="60"/>
      <c r="N4" s="101">
        <v>1</v>
      </c>
      <c r="O4" s="90" t="s">
        <v>12</v>
      </c>
      <c r="P4" s="114">
        <v>0</v>
      </c>
      <c r="Q4" s="87">
        <v>0</v>
      </c>
      <c r="R4" s="157"/>
      <c r="S4" s="101">
        <v>1.5</v>
      </c>
      <c r="T4" s="90" t="s">
        <v>12</v>
      </c>
      <c r="U4" s="114">
        <v>1.4</v>
      </c>
      <c r="V4" s="87">
        <v>5</v>
      </c>
      <c r="X4" s="129">
        <v>30</v>
      </c>
      <c r="Y4" s="90" t="s">
        <v>177</v>
      </c>
      <c r="Z4" s="171">
        <v>0</v>
      </c>
      <c r="AA4" s="87">
        <v>0</v>
      </c>
      <c r="AB4" s="157"/>
      <c r="AC4" s="129">
        <v>90</v>
      </c>
      <c r="AD4" s="90" t="s">
        <v>177</v>
      </c>
      <c r="AE4" s="171">
        <v>70</v>
      </c>
      <c r="AF4" s="87">
        <v>5</v>
      </c>
      <c r="AH4" s="118">
        <v>0.02</v>
      </c>
      <c r="AI4" s="90" t="s">
        <v>14</v>
      </c>
      <c r="AJ4" s="120">
        <v>0</v>
      </c>
      <c r="AK4" s="87">
        <v>0</v>
      </c>
    </row>
    <row r="5" spans="1:37" ht="18.75" thickBot="1" x14ac:dyDescent="0.3">
      <c r="A5" s="1"/>
      <c r="B5" s="1"/>
      <c r="C5" s="26"/>
      <c r="D5" s="26"/>
      <c r="E5" s="26"/>
      <c r="F5" s="26"/>
      <c r="G5" s="26"/>
      <c r="H5" s="26"/>
      <c r="I5" s="26"/>
      <c r="L5" s="1"/>
      <c r="N5" s="102">
        <v>1.1000000000000001</v>
      </c>
      <c r="O5" s="92" t="s">
        <v>12</v>
      </c>
      <c r="P5" s="95">
        <v>1</v>
      </c>
      <c r="Q5" s="88">
        <v>1</v>
      </c>
      <c r="R5" s="157"/>
      <c r="S5" s="102">
        <v>1.6</v>
      </c>
      <c r="T5" s="92" t="s">
        <v>12</v>
      </c>
      <c r="U5" s="95">
        <v>1.5</v>
      </c>
      <c r="V5" s="88">
        <v>4</v>
      </c>
      <c r="X5" s="130">
        <v>40</v>
      </c>
      <c r="Y5" s="90" t="s">
        <v>177</v>
      </c>
      <c r="Z5" s="131">
        <v>30</v>
      </c>
      <c r="AA5" s="88">
        <v>1</v>
      </c>
      <c r="AB5" s="157"/>
      <c r="AC5" s="130">
        <v>110</v>
      </c>
      <c r="AD5" s="90" t="s">
        <v>177</v>
      </c>
      <c r="AE5" s="131">
        <v>90</v>
      </c>
      <c r="AF5" s="88">
        <v>4</v>
      </c>
      <c r="AH5" s="119">
        <v>0.05</v>
      </c>
      <c r="AI5" s="92" t="s">
        <v>15</v>
      </c>
      <c r="AJ5" s="121">
        <v>0.02</v>
      </c>
      <c r="AK5" s="88">
        <v>1</v>
      </c>
    </row>
    <row r="6" spans="1:37" x14ac:dyDescent="0.25">
      <c r="A6" s="1"/>
      <c r="B6" s="6"/>
      <c r="C6" s="10"/>
      <c r="D6" s="11"/>
      <c r="E6" s="12"/>
      <c r="F6" s="11"/>
      <c r="G6" s="10"/>
      <c r="H6" s="11"/>
      <c r="I6" s="11"/>
      <c r="J6" s="11"/>
      <c r="K6" s="11"/>
      <c r="L6" s="20"/>
      <c r="N6" s="102">
        <v>1.2</v>
      </c>
      <c r="O6" s="92" t="s">
        <v>12</v>
      </c>
      <c r="P6" s="95">
        <v>1.1000000000000001</v>
      </c>
      <c r="Q6" s="88">
        <v>2</v>
      </c>
      <c r="R6" s="157"/>
      <c r="S6" s="102">
        <v>1.7</v>
      </c>
      <c r="T6" s="92" t="s">
        <v>12</v>
      </c>
      <c r="U6" s="95">
        <v>1.6</v>
      </c>
      <c r="V6" s="88">
        <v>3</v>
      </c>
      <c r="X6" s="130">
        <v>50</v>
      </c>
      <c r="Y6" s="90" t="s">
        <v>177</v>
      </c>
      <c r="Z6" s="131">
        <v>40</v>
      </c>
      <c r="AA6" s="88">
        <v>2</v>
      </c>
      <c r="AB6" s="157"/>
      <c r="AC6" s="130">
        <v>130</v>
      </c>
      <c r="AD6" s="90" t="s">
        <v>177</v>
      </c>
      <c r="AE6" s="131">
        <v>110</v>
      </c>
      <c r="AF6" s="88">
        <v>3</v>
      </c>
      <c r="AH6" s="119">
        <v>7.4999999999999997E-2</v>
      </c>
      <c r="AI6" s="92" t="s">
        <v>15</v>
      </c>
      <c r="AJ6" s="121">
        <v>0.05</v>
      </c>
      <c r="AK6" s="88">
        <v>2</v>
      </c>
    </row>
    <row r="7" spans="1:37" x14ac:dyDescent="0.25">
      <c r="A7" s="2"/>
      <c r="B7" s="8"/>
      <c r="C7" s="34" t="s">
        <v>87</v>
      </c>
      <c r="D7" s="34"/>
      <c r="E7" s="35"/>
      <c r="F7" s="35"/>
      <c r="G7" s="35"/>
      <c r="H7" s="35"/>
      <c r="I7" s="36"/>
      <c r="J7" s="36"/>
      <c r="K7" s="36"/>
      <c r="L7" s="22"/>
      <c r="N7" s="102">
        <v>1.3</v>
      </c>
      <c r="O7" s="92" t="s">
        <v>12</v>
      </c>
      <c r="P7" s="95">
        <v>1.2</v>
      </c>
      <c r="Q7" s="88">
        <v>3</v>
      </c>
      <c r="R7" s="157"/>
      <c r="S7" s="102">
        <v>1.8</v>
      </c>
      <c r="T7" s="92" t="s">
        <v>12</v>
      </c>
      <c r="U7" s="95">
        <v>1.7</v>
      </c>
      <c r="V7" s="88">
        <v>2</v>
      </c>
      <c r="X7" s="130">
        <v>60</v>
      </c>
      <c r="Y7" s="90" t="s">
        <v>177</v>
      </c>
      <c r="Z7" s="131">
        <v>50</v>
      </c>
      <c r="AA7" s="88">
        <v>3</v>
      </c>
      <c r="AB7" s="157"/>
      <c r="AC7" s="130">
        <v>150</v>
      </c>
      <c r="AD7" s="90" t="s">
        <v>177</v>
      </c>
      <c r="AE7" s="131">
        <v>130</v>
      </c>
      <c r="AF7" s="88">
        <v>2</v>
      </c>
      <c r="AH7" s="119">
        <v>0.1</v>
      </c>
      <c r="AI7" s="92" t="s">
        <v>15</v>
      </c>
      <c r="AJ7" s="121">
        <v>7.4999999999999997E-2</v>
      </c>
      <c r="AK7" s="88">
        <v>3</v>
      </c>
    </row>
    <row r="8" spans="1:37" x14ac:dyDescent="0.25">
      <c r="A8" s="2"/>
      <c r="B8" s="8"/>
      <c r="C8" s="34"/>
      <c r="D8" s="34"/>
      <c r="E8" s="35"/>
      <c r="F8" s="35"/>
      <c r="G8" s="35"/>
      <c r="H8" s="35"/>
      <c r="I8" s="36"/>
      <c r="J8" s="36"/>
      <c r="K8" s="36"/>
      <c r="L8" s="22"/>
      <c r="N8" s="102">
        <v>1.4</v>
      </c>
      <c r="O8" s="92" t="s">
        <v>12</v>
      </c>
      <c r="P8" s="95">
        <v>1.3</v>
      </c>
      <c r="Q8" s="88">
        <v>4</v>
      </c>
      <c r="R8" s="157"/>
      <c r="S8" s="102">
        <v>1.9</v>
      </c>
      <c r="T8" s="92" t="s">
        <v>12</v>
      </c>
      <c r="U8" s="95">
        <v>1.8</v>
      </c>
      <c r="V8" s="88">
        <v>1</v>
      </c>
      <c r="X8" s="130">
        <v>70</v>
      </c>
      <c r="Y8" s="90" t="s">
        <v>177</v>
      </c>
      <c r="Z8" s="131">
        <v>60</v>
      </c>
      <c r="AA8" s="88">
        <v>4</v>
      </c>
      <c r="AB8" s="157"/>
      <c r="AC8" s="130">
        <v>170</v>
      </c>
      <c r="AD8" s="90" t="s">
        <v>177</v>
      </c>
      <c r="AE8" s="131">
        <v>150</v>
      </c>
      <c r="AF8" s="88">
        <v>1</v>
      </c>
      <c r="AH8" s="119">
        <v>0.15</v>
      </c>
      <c r="AI8" s="92" t="s">
        <v>15</v>
      </c>
      <c r="AJ8" s="121">
        <v>0.1</v>
      </c>
      <c r="AK8" s="88">
        <v>4</v>
      </c>
    </row>
    <row r="9" spans="1:37" ht="16.5" thickBot="1" x14ac:dyDescent="0.3">
      <c r="A9" s="2"/>
      <c r="B9" s="8"/>
      <c r="C9" s="34" t="s">
        <v>173</v>
      </c>
      <c r="D9" s="34"/>
      <c r="E9" s="35"/>
      <c r="F9" s="35"/>
      <c r="G9" s="35"/>
      <c r="H9" s="35"/>
      <c r="I9" s="36"/>
      <c r="J9" s="36"/>
      <c r="K9" s="36"/>
      <c r="L9" s="22"/>
      <c r="N9" s="103"/>
      <c r="O9" s="93" t="s">
        <v>13</v>
      </c>
      <c r="P9" s="96">
        <v>1.4</v>
      </c>
      <c r="Q9" s="89">
        <v>5</v>
      </c>
      <c r="R9" s="157"/>
      <c r="S9" s="103"/>
      <c r="T9" s="93" t="s">
        <v>13</v>
      </c>
      <c r="U9" s="96">
        <v>1.9</v>
      </c>
      <c r="V9" s="89">
        <v>0</v>
      </c>
      <c r="X9" s="103"/>
      <c r="Y9" s="93" t="s">
        <v>178</v>
      </c>
      <c r="Z9" s="132">
        <v>70</v>
      </c>
      <c r="AA9" s="89">
        <v>5</v>
      </c>
      <c r="AB9" s="157"/>
      <c r="AC9" s="172"/>
      <c r="AD9" s="93" t="s">
        <v>178</v>
      </c>
      <c r="AE9" s="132">
        <v>170</v>
      </c>
      <c r="AF9" s="89">
        <v>0</v>
      </c>
      <c r="AH9" s="117"/>
      <c r="AI9" s="93" t="s">
        <v>16</v>
      </c>
      <c r="AJ9" s="122">
        <v>0.15</v>
      </c>
      <c r="AK9" s="89">
        <v>5</v>
      </c>
    </row>
    <row r="10" spans="1:37" ht="16.5" thickBot="1" x14ac:dyDescent="0.3">
      <c r="A10" s="1"/>
      <c r="B10" s="7"/>
      <c r="C10" s="37"/>
      <c r="D10" s="38"/>
      <c r="E10" s="39"/>
      <c r="F10" s="38"/>
      <c r="G10" s="37"/>
      <c r="H10" s="38"/>
      <c r="I10" s="105"/>
      <c r="J10" s="38"/>
      <c r="K10" s="38"/>
      <c r="L10" s="21"/>
    </row>
    <row r="11" spans="1:37" ht="33.950000000000003" customHeight="1" thickBot="1" x14ac:dyDescent="0.3">
      <c r="A11" s="1"/>
      <c r="B11" s="7"/>
      <c r="C11" s="3" t="str">
        <f>'Unos podataka'!C27</f>
        <v>Instalisani protok(m3/s)</v>
      </c>
      <c r="D11" s="39" t="s">
        <v>0</v>
      </c>
      <c r="E11" s="3" t="str">
        <f>'Unos podataka'!C25</f>
        <v>Središnji godišnji protok(m3/s)</v>
      </c>
      <c r="F11" s="39" t="s">
        <v>2</v>
      </c>
      <c r="G11" s="3" t="s">
        <v>161</v>
      </c>
      <c r="H11" s="39"/>
      <c r="I11" s="105"/>
      <c r="J11" s="39"/>
      <c r="K11" s="38"/>
      <c r="L11" s="21"/>
    </row>
    <row r="12" spans="1:37" ht="9.9499999999999993" customHeight="1" thickBot="1" x14ac:dyDescent="0.3">
      <c r="A12" s="1"/>
      <c r="B12" s="7"/>
      <c r="C12" s="39"/>
      <c r="D12" s="40"/>
      <c r="E12" s="39"/>
      <c r="F12" s="40"/>
      <c r="G12" s="39"/>
      <c r="H12" s="40"/>
      <c r="I12" s="105"/>
      <c r="J12" s="39"/>
      <c r="K12" s="38"/>
      <c r="L12" s="21"/>
    </row>
    <row r="13" spans="1:37" ht="20.100000000000001" customHeight="1" thickBot="1" x14ac:dyDescent="0.3">
      <c r="A13" s="1"/>
      <c r="B13" s="7"/>
      <c r="C13" s="113" t="str">
        <f>IF('Unos podataka'!E27="","",'Unos podataka'!E27)</f>
        <v/>
      </c>
      <c r="D13" s="39" t="s">
        <v>0</v>
      </c>
      <c r="E13" s="113" t="str">
        <f>IF('Unos podataka'!E25="","",'Unos podataka'!E25)</f>
        <v/>
      </c>
      <c r="F13" s="39" t="s">
        <v>2</v>
      </c>
      <c r="G13" s="177" t="str">
        <f>IF(OR(C13="",E13=""),"",C13/E13)</f>
        <v/>
      </c>
      <c r="H13" s="39"/>
      <c r="I13" s="126"/>
      <c r="J13" s="39"/>
      <c r="K13" s="38"/>
      <c r="L13" s="21"/>
    </row>
    <row r="14" spans="1:37" ht="9.9499999999999993" customHeight="1" thickBot="1" x14ac:dyDescent="0.3">
      <c r="A14" s="1"/>
      <c r="B14" s="45"/>
      <c r="C14" s="46"/>
      <c r="D14" s="46"/>
      <c r="E14" s="46"/>
      <c r="F14" s="46"/>
      <c r="G14" s="46"/>
      <c r="H14" s="46"/>
      <c r="I14" s="46"/>
      <c r="J14" s="46"/>
      <c r="K14" s="46"/>
      <c r="L14" s="49"/>
    </row>
    <row r="15" spans="1:37" ht="18.95" customHeight="1" x14ac:dyDescent="0.25">
      <c r="A15" s="1"/>
      <c r="B15" s="47"/>
      <c r="C15" s="48"/>
      <c r="D15" s="48"/>
      <c r="E15" s="48"/>
      <c r="F15" s="48"/>
      <c r="G15" s="821" t="str">
        <f>IF(G13="","",IF(G13&lt;=P9,VLOOKUP(G13,P4:Q9,2),VLOOKUP(G13,U4:V9,2)))</f>
        <v/>
      </c>
      <c r="H15" s="820" t="s">
        <v>17</v>
      </c>
      <c r="I15" s="818">
        <f>IF(E31=N16,G50,I50)</f>
        <v>0.5</v>
      </c>
      <c r="J15" s="46"/>
      <c r="K15" s="416">
        <f>IF(G15="",0,1)</f>
        <v>0</v>
      </c>
      <c r="L15" s="50"/>
      <c r="N15" s="710" t="s">
        <v>492</v>
      </c>
      <c r="O15" s="711"/>
    </row>
    <row r="16" spans="1:37" ht="15.95" customHeight="1" thickBot="1" x14ac:dyDescent="0.3">
      <c r="B16" s="45"/>
      <c r="C16" s="46"/>
      <c r="D16" s="46"/>
      <c r="E16" s="46"/>
      <c r="F16" s="46"/>
      <c r="G16" s="822"/>
      <c r="H16" s="820"/>
      <c r="I16" s="819"/>
      <c r="J16" s="46"/>
      <c r="K16" s="416"/>
      <c r="L16" s="49"/>
      <c r="N16" s="711" t="s">
        <v>83</v>
      </c>
      <c r="O16" s="711"/>
    </row>
    <row r="17" spans="1:29" ht="17.100000000000001" customHeight="1" x14ac:dyDescent="0.25">
      <c r="B17" s="45"/>
      <c r="C17" s="46"/>
      <c r="D17" s="46"/>
      <c r="E17" s="46"/>
      <c r="F17" s="46"/>
      <c r="G17" s="46"/>
      <c r="H17" s="46"/>
      <c r="I17" s="46"/>
      <c r="J17" s="46"/>
      <c r="K17" s="416"/>
      <c r="L17" s="49"/>
      <c r="N17" s="711" t="s">
        <v>84</v>
      </c>
      <c r="O17" s="711"/>
      <c r="Q17" s="140"/>
    </row>
    <row r="18" spans="1:29" ht="17.100000000000001" customHeight="1" x14ac:dyDescent="0.25">
      <c r="B18" s="174"/>
      <c r="C18" s="175"/>
      <c r="D18" s="175"/>
      <c r="E18" s="175"/>
      <c r="F18" s="175"/>
      <c r="G18" s="175"/>
      <c r="H18" s="175"/>
      <c r="I18" s="175"/>
      <c r="J18" s="175"/>
      <c r="K18" s="635"/>
      <c r="L18" s="176"/>
    </row>
    <row r="19" spans="1:29" x14ac:dyDescent="0.25">
      <c r="B19" s="8"/>
      <c r="C19" s="34" t="s">
        <v>162</v>
      </c>
      <c r="D19" s="34"/>
      <c r="E19" s="35"/>
      <c r="F19" s="35"/>
      <c r="G19" s="35"/>
      <c r="H19" s="35"/>
      <c r="I19" s="36"/>
      <c r="J19" s="36"/>
      <c r="K19" s="636"/>
      <c r="L19" s="22"/>
      <c r="N19" s="52"/>
      <c r="S19" s="52"/>
      <c r="X19" s="52"/>
      <c r="AC19" s="52"/>
    </row>
    <row r="20" spans="1:29" ht="16.5" thickBot="1" x14ac:dyDescent="0.3">
      <c r="B20" s="7"/>
      <c r="C20" s="37"/>
      <c r="D20" s="38"/>
      <c r="E20" s="39"/>
      <c r="F20" s="38"/>
      <c r="G20" s="37"/>
      <c r="H20" s="38"/>
      <c r="I20" s="105"/>
      <c r="J20" s="38"/>
      <c r="K20" s="637"/>
      <c r="L20" s="21"/>
    </row>
    <row r="21" spans="1:29" ht="42.95" customHeight="1" thickBot="1" x14ac:dyDescent="0.3">
      <c r="B21" s="7"/>
      <c r="C21" s="815" t="s">
        <v>165</v>
      </c>
      <c r="D21" s="816"/>
      <c r="E21" s="816"/>
      <c r="F21" s="816"/>
      <c r="G21" s="817"/>
      <c r="H21" s="39"/>
      <c r="I21" s="105"/>
      <c r="J21" s="39"/>
      <c r="K21" s="637"/>
      <c r="L21" s="21"/>
      <c r="O21" s="125"/>
      <c r="Y21" s="125"/>
    </row>
    <row r="22" spans="1:29" ht="9.9499999999999993" customHeight="1" thickBot="1" x14ac:dyDescent="0.3">
      <c r="A22" s="1"/>
      <c r="B22" s="7"/>
      <c r="C22" s="39"/>
      <c r="D22" s="40"/>
      <c r="E22" s="39"/>
      <c r="F22" s="40"/>
      <c r="G22" s="39"/>
      <c r="H22" s="40"/>
      <c r="I22" s="105"/>
      <c r="J22" s="39"/>
      <c r="K22" s="637"/>
      <c r="L22" s="21"/>
    </row>
    <row r="23" spans="1:29" ht="16.5" thickBot="1" x14ac:dyDescent="0.3">
      <c r="B23" s="7"/>
      <c r="C23" s="826"/>
      <c r="D23" s="827"/>
      <c r="E23" s="827"/>
      <c r="F23" s="827"/>
      <c r="G23" s="828"/>
      <c r="H23" s="39"/>
      <c r="I23" s="126"/>
      <c r="J23" s="39"/>
      <c r="K23" s="637"/>
      <c r="L23" s="21"/>
      <c r="N23" s="669"/>
      <c r="O23" s="671"/>
      <c r="P23" s="669"/>
      <c r="Q23" s="669"/>
      <c r="R23" s="669"/>
      <c r="Y23" s="80"/>
    </row>
    <row r="24" spans="1:29" ht="9.9499999999999993" customHeight="1" thickBot="1" x14ac:dyDescent="0.3">
      <c r="A24" s="1"/>
      <c r="B24" s="45"/>
      <c r="C24" s="46"/>
      <c r="D24" s="46"/>
      <c r="E24" s="46"/>
      <c r="F24" s="46"/>
      <c r="G24" s="46"/>
      <c r="H24" s="46"/>
      <c r="I24" s="46"/>
      <c r="J24" s="46"/>
      <c r="K24" s="416"/>
      <c r="L24" s="49"/>
    </row>
    <row r="25" spans="1:29" ht="18" x14ac:dyDescent="0.25">
      <c r="B25" s="47"/>
      <c r="C25" s="48"/>
      <c r="D25" s="48"/>
      <c r="E25" s="48"/>
      <c r="F25" s="48"/>
      <c r="G25" s="821" t="str">
        <f>IF(C23="","",IF(C23&lt;=70,VLOOKUP(C23,Z4:AA9,2),VLOOKUP(C23,AE4:AF9,2)))</f>
        <v/>
      </c>
      <c r="H25" s="820" t="s">
        <v>17</v>
      </c>
      <c r="I25" s="818">
        <f>IF(E31=N16,G52,I52)</f>
        <v>0.5</v>
      </c>
      <c r="J25" s="46"/>
      <c r="K25" s="416">
        <f>IF(G25="",0,1)</f>
        <v>0</v>
      </c>
      <c r="L25" s="50"/>
    </row>
    <row r="26" spans="1:29" ht="16.5" thickBot="1" x14ac:dyDescent="0.3">
      <c r="B26" s="45"/>
      <c r="C26" s="46"/>
      <c r="D26" s="46"/>
      <c r="E26" s="46"/>
      <c r="F26" s="46"/>
      <c r="G26" s="822"/>
      <c r="H26" s="820"/>
      <c r="I26" s="819"/>
      <c r="J26" s="46"/>
      <c r="K26" s="416"/>
      <c r="L26" s="49"/>
    </row>
    <row r="27" spans="1:29" x14ac:dyDescent="0.25">
      <c r="B27" s="45"/>
      <c r="C27" s="46"/>
      <c r="D27" s="46"/>
      <c r="E27" s="46"/>
      <c r="F27" s="46"/>
      <c r="G27" s="46"/>
      <c r="H27" s="46"/>
      <c r="I27" s="46"/>
      <c r="J27" s="46"/>
      <c r="K27" s="416"/>
      <c r="L27" s="49"/>
    </row>
    <row r="28" spans="1:29" ht="17.100000000000001" customHeight="1" x14ac:dyDescent="0.25">
      <c r="B28" s="174"/>
      <c r="C28" s="175"/>
      <c r="D28" s="175"/>
      <c r="E28" s="175"/>
      <c r="F28" s="175"/>
      <c r="G28" s="175"/>
      <c r="H28" s="175"/>
      <c r="I28" s="175"/>
      <c r="J28" s="175"/>
      <c r="K28" s="635"/>
      <c r="L28" s="176"/>
    </row>
    <row r="29" spans="1:29" x14ac:dyDescent="0.25">
      <c r="B29" s="45"/>
      <c r="C29" s="34" t="s">
        <v>163</v>
      </c>
      <c r="D29" s="46"/>
      <c r="E29" s="46"/>
      <c r="F29" s="46"/>
      <c r="G29" s="46"/>
      <c r="H29" s="46"/>
      <c r="I29" s="46"/>
      <c r="J29" s="46"/>
      <c r="K29" s="416"/>
      <c r="L29" s="49"/>
    </row>
    <row r="30" spans="1:29" ht="16.5" thickBot="1" x14ac:dyDescent="0.3">
      <c r="B30" s="45"/>
      <c r="C30" s="34"/>
      <c r="D30" s="46"/>
      <c r="E30" s="46"/>
      <c r="F30" s="46"/>
      <c r="G30" s="46"/>
      <c r="H30" s="46"/>
      <c r="I30" s="46"/>
      <c r="J30" s="46"/>
      <c r="K30" s="416"/>
      <c r="L30" s="49"/>
    </row>
    <row r="31" spans="1:29" ht="26.25" thickBot="1" x14ac:dyDescent="0.3">
      <c r="B31" s="45"/>
      <c r="C31" s="348" t="s">
        <v>72</v>
      </c>
      <c r="D31" s="46"/>
      <c r="E31" s="360" t="str">
        <f>'Unos podataka'!E29</f>
        <v>Izaberite</v>
      </c>
      <c r="F31" s="361" t="s">
        <v>34</v>
      </c>
      <c r="G31" s="823" t="str">
        <f>IF(E31=N16, "Podkriterij primjenjljiv","Podkriterij nije primjenjljiv")</f>
        <v>Podkriterij nije primjenjljiv</v>
      </c>
      <c r="H31" s="824"/>
      <c r="I31" s="825"/>
      <c r="J31" s="46"/>
      <c r="K31" s="416"/>
      <c r="L31" s="49"/>
    </row>
    <row r="32" spans="1:29" ht="16.5" thickBot="1" x14ac:dyDescent="0.3">
      <c r="B32" s="45"/>
      <c r="C32" s="46"/>
      <c r="D32" s="46"/>
      <c r="E32" s="46"/>
      <c r="F32" s="46"/>
      <c r="G32" s="46"/>
      <c r="H32" s="46"/>
      <c r="I32" s="46"/>
      <c r="J32" s="46"/>
      <c r="K32" s="416"/>
      <c r="L32" s="49"/>
    </row>
    <row r="33" spans="2:12" ht="26.25" thickBot="1" x14ac:dyDescent="0.4">
      <c r="B33" s="124"/>
      <c r="C33" s="3" t="str">
        <f>'Unos podataka'!C21</f>
        <v>Bruto pad (m)</v>
      </c>
      <c r="D33" s="39" t="s">
        <v>0</v>
      </c>
      <c r="E33" s="3" t="str">
        <f>'Unos podataka'!C31</f>
        <v>n.a.</v>
      </c>
      <c r="F33" s="39" t="s">
        <v>2</v>
      </c>
      <c r="G33" s="3" t="s">
        <v>164</v>
      </c>
      <c r="H33" s="46"/>
      <c r="I33" s="46"/>
      <c r="J33" s="46"/>
      <c r="K33" s="416"/>
      <c r="L33" s="49"/>
    </row>
    <row r="34" spans="2:12" ht="16.5" thickBot="1" x14ac:dyDescent="0.3">
      <c r="B34" s="45"/>
      <c r="C34" s="39"/>
      <c r="D34" s="40"/>
      <c r="E34" s="39"/>
      <c r="F34" s="40"/>
      <c r="G34" s="39"/>
      <c r="H34" s="46"/>
      <c r="I34" s="46"/>
      <c r="J34" s="46"/>
      <c r="K34" s="416"/>
      <c r="L34" s="49"/>
    </row>
    <row r="35" spans="2:12" ht="16.5" thickBot="1" x14ac:dyDescent="0.3">
      <c r="B35" s="45"/>
      <c r="C35" s="115" t="str">
        <f>IF('Unos podataka'!E21="","",IF(E31=N16,'Unos podataka'!E21,""))</f>
        <v/>
      </c>
      <c r="D35" s="39" t="s">
        <v>0</v>
      </c>
      <c r="E35" s="116" t="str">
        <f>IF('Unos podataka'!E31="","",IF(E31=N16,'Unos podataka'!E31,""))</f>
        <v/>
      </c>
      <c r="F35" s="39" t="s">
        <v>2</v>
      </c>
      <c r="G35" s="173" t="str">
        <f>IF(OR(C35="",E35=""),"",IF(E31=N16,C35/E35/1000,""))</f>
        <v/>
      </c>
      <c r="H35" s="46"/>
      <c r="I35" s="123"/>
      <c r="J35" s="46"/>
      <c r="K35" s="416"/>
      <c r="L35" s="49"/>
    </row>
    <row r="36" spans="2:12" ht="16.5" thickBot="1" x14ac:dyDescent="0.3">
      <c r="B36" s="45"/>
      <c r="C36" s="46"/>
      <c r="D36" s="46"/>
      <c r="E36" s="46"/>
      <c r="F36" s="46"/>
      <c r="G36" s="46"/>
      <c r="H36" s="46"/>
      <c r="I36" s="46"/>
      <c r="J36" s="46"/>
      <c r="K36" s="416"/>
      <c r="L36" s="49"/>
    </row>
    <row r="37" spans="2:12" ht="18" x14ac:dyDescent="0.25">
      <c r="B37" s="45"/>
      <c r="C37" s="48"/>
      <c r="D37" s="48"/>
      <c r="E37" s="48"/>
      <c r="F37" s="48"/>
      <c r="G37" s="821" t="str">
        <f>IF(G35="","",IF(E31=N16,VLOOKUP(G35,AJ4:AK9,2),""))</f>
        <v/>
      </c>
      <c r="H37" s="820" t="s">
        <v>17</v>
      </c>
      <c r="I37" s="818" t="str">
        <f>IF(E31=N16,G54,"")</f>
        <v/>
      </c>
      <c r="J37" s="46"/>
      <c r="K37" s="416">
        <f>IF(AND(E31=N16,G37=""),0,1)</f>
        <v>1</v>
      </c>
      <c r="L37" s="49"/>
    </row>
    <row r="38" spans="2:12" ht="16.5" thickBot="1" x14ac:dyDescent="0.3">
      <c r="B38" s="45"/>
      <c r="C38" s="46"/>
      <c r="D38" s="46"/>
      <c r="E38" s="46"/>
      <c r="F38" s="46"/>
      <c r="G38" s="822"/>
      <c r="H38" s="820"/>
      <c r="I38" s="819"/>
      <c r="J38" s="46"/>
      <c r="K38" s="416"/>
      <c r="L38" s="49"/>
    </row>
    <row r="39" spans="2:12" x14ac:dyDescent="0.25">
      <c r="B39" s="45"/>
      <c r="C39" s="46"/>
      <c r="D39" s="46"/>
      <c r="E39" s="46"/>
      <c r="F39" s="46"/>
      <c r="G39" s="46"/>
      <c r="H39" s="46"/>
      <c r="I39" s="46"/>
      <c r="J39" s="46"/>
      <c r="K39" s="416"/>
      <c r="L39" s="49"/>
    </row>
    <row r="40" spans="2:12" ht="16.5" thickBot="1" x14ac:dyDescent="0.3">
      <c r="B40" s="174"/>
      <c r="C40" s="175"/>
      <c r="D40" s="175"/>
      <c r="E40" s="175"/>
      <c r="F40" s="175"/>
      <c r="G40" s="175"/>
      <c r="H40" s="175"/>
      <c r="I40" s="175"/>
      <c r="J40" s="175"/>
      <c r="K40" s="635"/>
      <c r="L40" s="176"/>
    </row>
    <row r="41" spans="2:12" x14ac:dyDescent="0.25">
      <c r="B41" s="45"/>
      <c r="C41" s="832" t="s">
        <v>496</v>
      </c>
      <c r="D41" s="832"/>
      <c r="E41" s="832"/>
      <c r="F41" s="46"/>
      <c r="G41" s="833" t="str">
        <f>IF(K41=0,"",IF(E31=N16,G15*I15+G25*I25+G37*I37,G15*I15+G25*I25))</f>
        <v/>
      </c>
      <c r="H41" s="834"/>
      <c r="I41" s="835"/>
      <c r="J41" s="46"/>
      <c r="K41" s="416">
        <f>MIN(K15:K38)</f>
        <v>0</v>
      </c>
      <c r="L41" s="49"/>
    </row>
    <row r="42" spans="2:12" ht="16.5" thickBot="1" x14ac:dyDescent="0.3">
      <c r="B42" s="45"/>
      <c r="C42" s="832"/>
      <c r="D42" s="832"/>
      <c r="E42" s="832"/>
      <c r="F42" s="46"/>
      <c r="G42" s="836"/>
      <c r="H42" s="837"/>
      <c r="I42" s="838"/>
      <c r="J42" s="46"/>
      <c r="K42" s="46"/>
      <c r="L42" s="49"/>
    </row>
    <row r="43" spans="2:12" ht="16.5" thickBot="1" x14ac:dyDescent="0.3">
      <c r="B43" s="31"/>
      <c r="C43" s="41"/>
      <c r="D43" s="19"/>
      <c r="E43" s="42"/>
      <c r="F43" s="19"/>
      <c r="G43" s="19"/>
      <c r="H43" s="19"/>
      <c r="I43" s="19"/>
      <c r="J43" s="51"/>
      <c r="K43" s="51"/>
      <c r="L43" s="23"/>
    </row>
    <row r="44" spans="2:12" ht="16.5" thickBot="1" x14ac:dyDescent="0.3"/>
    <row r="45" spans="2:12" x14ac:dyDescent="0.25">
      <c r="B45" s="241"/>
      <c r="C45" s="242"/>
      <c r="D45" s="242"/>
      <c r="E45" s="242"/>
      <c r="F45" s="242"/>
      <c r="G45" s="242"/>
      <c r="H45" s="242"/>
      <c r="I45" s="242"/>
      <c r="J45" s="242"/>
      <c r="K45" s="242"/>
      <c r="L45" s="243"/>
    </row>
    <row r="46" spans="2:12" ht="18" x14ac:dyDescent="0.25">
      <c r="B46" s="45"/>
      <c r="C46" s="363" t="s">
        <v>166</v>
      </c>
      <c r="D46" s="46"/>
      <c r="E46" s="46"/>
      <c r="F46" s="46"/>
      <c r="G46" s="46"/>
      <c r="H46" s="46"/>
      <c r="I46" s="46"/>
      <c r="J46" s="46"/>
      <c r="K46" s="46"/>
      <c r="L46" s="49"/>
    </row>
    <row r="47" spans="2:12" ht="16.5" thickBot="1" x14ac:dyDescent="0.3">
      <c r="B47" s="45"/>
      <c r="C47" s="34"/>
      <c r="D47" s="46"/>
      <c r="E47" s="46"/>
      <c r="F47" s="46"/>
      <c r="G47" s="46"/>
      <c r="H47" s="46"/>
      <c r="I47" s="46"/>
      <c r="J47" s="46"/>
      <c r="K47" s="46"/>
      <c r="L47" s="49"/>
    </row>
    <row r="48" spans="2:12" ht="33.950000000000003" customHeight="1" thickBot="1" x14ac:dyDescent="0.3">
      <c r="B48" s="45"/>
      <c r="C48" s="34"/>
      <c r="D48" s="46"/>
      <c r="E48" s="46"/>
      <c r="F48" s="46"/>
      <c r="G48" s="3" t="s">
        <v>168</v>
      </c>
      <c r="H48" s="46"/>
      <c r="I48" s="3" t="s">
        <v>169</v>
      </c>
      <c r="J48" s="46"/>
      <c r="K48" s="46"/>
      <c r="L48" s="49"/>
    </row>
    <row r="49" spans="2:12" ht="9.9499999999999993" customHeight="1" thickBot="1" x14ac:dyDescent="0.3">
      <c r="B49" s="45"/>
      <c r="C49" s="46"/>
      <c r="D49" s="46"/>
      <c r="E49" s="46"/>
      <c r="F49" s="46"/>
      <c r="G49" s="46"/>
      <c r="H49" s="46"/>
      <c r="I49" s="46"/>
      <c r="J49" s="46"/>
      <c r="K49" s="46"/>
      <c r="L49" s="49"/>
    </row>
    <row r="50" spans="2:12" ht="29.1" customHeight="1" thickBot="1" x14ac:dyDescent="0.3">
      <c r="B50" s="45"/>
      <c r="C50" s="829" t="s">
        <v>167</v>
      </c>
      <c r="D50" s="830"/>
      <c r="E50" s="831"/>
      <c r="F50" s="46"/>
      <c r="G50" s="364">
        <v>0.4</v>
      </c>
      <c r="H50" s="46"/>
      <c r="I50" s="364">
        <v>0.5</v>
      </c>
      <c r="J50" s="46"/>
      <c r="K50" s="46"/>
      <c r="L50" s="49"/>
    </row>
    <row r="51" spans="2:12" ht="9.9499999999999993" customHeight="1" thickBot="1" x14ac:dyDescent="0.3">
      <c r="B51" s="45"/>
      <c r="C51" s="362"/>
      <c r="D51" s="362"/>
      <c r="E51" s="362"/>
      <c r="F51" s="46"/>
      <c r="G51" s="46"/>
      <c r="H51" s="46"/>
      <c r="I51" s="46"/>
      <c r="J51" s="46"/>
      <c r="K51" s="46"/>
      <c r="L51" s="49"/>
    </row>
    <row r="52" spans="2:12" ht="29.1" customHeight="1" thickBot="1" x14ac:dyDescent="0.3">
      <c r="B52" s="45"/>
      <c r="C52" s="829" t="s">
        <v>170</v>
      </c>
      <c r="D52" s="830"/>
      <c r="E52" s="831"/>
      <c r="F52" s="46"/>
      <c r="G52" s="364">
        <v>0.4</v>
      </c>
      <c r="H52" s="46"/>
      <c r="I52" s="364">
        <v>0.5</v>
      </c>
      <c r="J52" s="46"/>
      <c r="K52" s="46"/>
      <c r="L52" s="49"/>
    </row>
    <row r="53" spans="2:12" ht="11.1" customHeight="1" thickBot="1" x14ac:dyDescent="0.3">
      <c r="B53" s="45"/>
      <c r="C53" s="362"/>
      <c r="D53" s="362"/>
      <c r="E53" s="362"/>
      <c r="F53" s="46"/>
      <c r="G53" s="46"/>
      <c r="H53" s="46"/>
      <c r="I53" s="46"/>
      <c r="J53" s="46"/>
      <c r="K53" s="46"/>
      <c r="L53" s="49"/>
    </row>
    <row r="54" spans="2:12" ht="29.1" customHeight="1" thickBot="1" x14ac:dyDescent="0.3">
      <c r="B54" s="45"/>
      <c r="C54" s="829" t="s">
        <v>171</v>
      </c>
      <c r="D54" s="830"/>
      <c r="E54" s="831"/>
      <c r="F54" s="46"/>
      <c r="G54" s="364">
        <v>0.2</v>
      </c>
      <c r="H54" s="46"/>
      <c r="I54" s="364" t="s">
        <v>35</v>
      </c>
      <c r="J54" s="46"/>
      <c r="K54" s="46"/>
      <c r="L54" s="49"/>
    </row>
    <row r="55" spans="2:12" ht="16.5" thickBot="1" x14ac:dyDescent="0.3">
      <c r="B55" s="204"/>
      <c r="C55" s="51"/>
      <c r="D55" s="51"/>
      <c r="E55" s="51"/>
      <c r="F55" s="51"/>
      <c r="G55" s="51"/>
      <c r="H55" s="51"/>
      <c r="I55" s="51"/>
      <c r="J55" s="51"/>
      <c r="K55" s="51"/>
      <c r="L55" s="205"/>
    </row>
  </sheetData>
  <sheetProtection algorithmName="SHA-512" hashValue="eGZN9o872mXW+Qn2vSyoiEXt8c8N5dntzLrAvd0htt82cHb9gm/Pnk9uLon8Hp5/aenr8ntqSKws/V9oQB5ldw==" saltValue="xcjkVrzStkJ35zbVreaJjw==" spinCount="100000" sheet="1" objects="1" scenarios="1"/>
  <mergeCells count="25">
    <mergeCell ref="C50:E50"/>
    <mergeCell ref="C52:E52"/>
    <mergeCell ref="C54:E54"/>
    <mergeCell ref="C41:E42"/>
    <mergeCell ref="G41:I42"/>
    <mergeCell ref="G31:I31"/>
    <mergeCell ref="G37:G38"/>
    <mergeCell ref="H37:H38"/>
    <mergeCell ref="I37:I38"/>
    <mergeCell ref="C23:G23"/>
    <mergeCell ref="G25:G26"/>
    <mergeCell ref="H25:H26"/>
    <mergeCell ref="I25:I26"/>
    <mergeCell ref="C21:G21"/>
    <mergeCell ref="I15:I16"/>
    <mergeCell ref="H15:H16"/>
    <mergeCell ref="G15:G16"/>
    <mergeCell ref="N2:V2"/>
    <mergeCell ref="S3:U3"/>
    <mergeCell ref="N3:P3"/>
    <mergeCell ref="X2:AF2"/>
    <mergeCell ref="X3:Z3"/>
    <mergeCell ref="AC3:AE3"/>
    <mergeCell ref="AH2:AK2"/>
    <mergeCell ref="AH3:AJ3"/>
  </mergeCells>
  <conditionalFormatting sqref="G31:I31">
    <cfRule type="expression" dxfId="227" priority="1">
      <formula>$E$31=$N$17</formula>
    </cfRule>
  </conditionalFormatting>
  <dataValidations count="1">
    <dataValidation type="decimal" operator="lessThanOrEqual" allowBlank="1" showInputMessage="1" showErrorMessage="1" error="no valid number!" prompt="Unesite broj dana" sqref="C23:G23" xr:uid="{00000000-0002-0000-0B00-000000000000}">
      <formula1>366</formula1>
    </dataValidation>
  </dataValidation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Tabelle12"/>
  <dimension ref="A1:O18"/>
  <sheetViews>
    <sheetView showGridLines="0" zoomScaleNormal="100" workbookViewId="0">
      <selection activeCell="N19" sqref="N19"/>
    </sheetView>
  </sheetViews>
  <sheetFormatPr defaultColWidth="10.875" defaultRowHeight="15" outlineLevelCol="1" x14ac:dyDescent="0.2"/>
  <cols>
    <col min="1" max="2" width="3.875" style="80" customWidth="1"/>
    <col min="3" max="3" width="21.375" style="80" customWidth="1"/>
    <col min="4" max="4" width="3.875" style="80" customWidth="1"/>
    <col min="5" max="5" width="20.625" style="80" customWidth="1"/>
    <col min="6" max="6" width="3.875" style="80" customWidth="1"/>
    <col min="7" max="7" width="17.375" style="80" customWidth="1"/>
    <col min="8" max="8" width="3.875" style="80" customWidth="1"/>
    <col min="9" max="9" width="12.875" style="80" customWidth="1"/>
    <col min="10" max="10" width="3.875" style="80" customWidth="1"/>
    <col min="11" max="11" width="10.875" style="80"/>
    <col min="12" max="12" width="10.875" style="80" outlineLevel="1"/>
    <col min="13" max="13" width="16.625" style="80" customWidth="1" outlineLevel="1"/>
    <col min="14" max="15" width="10.875" style="80" outlineLevel="1"/>
    <col min="16" max="16384" width="10.875" style="80"/>
  </cols>
  <sheetData>
    <row r="1" spans="1:15" ht="15.75" thickBot="1" x14ac:dyDescent="0.25">
      <c r="A1" s="1"/>
      <c r="B1" s="1"/>
      <c r="C1" s="24"/>
      <c r="D1" s="1"/>
      <c r="E1" s="25"/>
      <c r="F1" s="1"/>
      <c r="G1" s="24"/>
      <c r="H1" s="1"/>
      <c r="I1" s="1"/>
      <c r="J1" s="1"/>
    </row>
    <row r="2" spans="1:15" ht="15.75" thickBot="1" x14ac:dyDescent="0.25">
      <c r="A2" s="1"/>
      <c r="B2" s="6"/>
      <c r="C2" s="10"/>
      <c r="D2" s="11"/>
      <c r="E2" s="12"/>
      <c r="F2" s="11"/>
      <c r="G2" s="10"/>
      <c r="H2" s="11"/>
      <c r="I2" s="11"/>
      <c r="J2" s="20"/>
      <c r="L2" s="797" t="s">
        <v>180</v>
      </c>
      <c r="M2" s="798"/>
      <c r="N2" s="799"/>
      <c r="O2" s="86" t="s">
        <v>493</v>
      </c>
    </row>
    <row r="3" spans="1:15" ht="17.100000000000001" customHeight="1" x14ac:dyDescent="0.2">
      <c r="A3" s="1"/>
      <c r="B3" s="7"/>
      <c r="C3" s="796" t="s">
        <v>488</v>
      </c>
      <c r="D3" s="796"/>
      <c r="E3" s="796"/>
      <c r="F3" s="796"/>
      <c r="G3" s="796"/>
      <c r="H3" s="796"/>
      <c r="I3" s="796"/>
      <c r="J3" s="30"/>
      <c r="L3" s="129">
        <v>80</v>
      </c>
      <c r="M3" s="90" t="s">
        <v>18</v>
      </c>
      <c r="N3" s="91">
        <v>0</v>
      </c>
      <c r="O3" s="87">
        <v>5</v>
      </c>
    </row>
    <row r="4" spans="1:15" ht="17.100000000000001" customHeight="1" thickBot="1" x14ac:dyDescent="0.25">
      <c r="A4" s="1"/>
      <c r="B4" s="31"/>
      <c r="C4" s="32"/>
      <c r="D4" s="32"/>
      <c r="E4" s="32"/>
      <c r="F4" s="32"/>
      <c r="G4" s="32"/>
      <c r="H4" s="32"/>
      <c r="I4" s="32"/>
      <c r="J4" s="23"/>
      <c r="L4" s="130">
        <v>125</v>
      </c>
      <c r="M4" s="92" t="s">
        <v>18</v>
      </c>
      <c r="N4" s="131">
        <v>80.000000001000004</v>
      </c>
      <c r="O4" s="88">
        <v>4</v>
      </c>
    </row>
    <row r="5" spans="1:15" ht="17.100000000000001" customHeight="1" thickBot="1" x14ac:dyDescent="0.25">
      <c r="A5" s="1"/>
      <c r="B5" s="1"/>
      <c r="C5" s="26"/>
      <c r="D5" s="26"/>
      <c r="E5" s="26"/>
      <c r="F5" s="26"/>
      <c r="G5" s="26"/>
      <c r="H5" s="26"/>
      <c r="I5" s="26"/>
      <c r="J5" s="1"/>
      <c r="L5" s="130">
        <v>250</v>
      </c>
      <c r="M5" s="92" t="s">
        <v>18</v>
      </c>
      <c r="N5" s="131">
        <v>125.000000001</v>
      </c>
      <c r="O5" s="88">
        <v>3</v>
      </c>
    </row>
    <row r="6" spans="1:15" ht="17.100000000000001" customHeight="1" x14ac:dyDescent="0.2">
      <c r="A6" s="1"/>
      <c r="B6" s="6"/>
      <c r="C6" s="10"/>
      <c r="D6" s="11"/>
      <c r="E6" s="12"/>
      <c r="F6" s="11"/>
      <c r="G6" s="10"/>
      <c r="H6" s="11"/>
      <c r="I6" s="11"/>
      <c r="J6" s="20"/>
      <c r="L6" s="130">
        <v>500</v>
      </c>
      <c r="M6" s="92" t="s">
        <v>18</v>
      </c>
      <c r="N6" s="131">
        <v>250.00000000099999</v>
      </c>
      <c r="O6" s="88">
        <v>2</v>
      </c>
    </row>
    <row r="7" spans="1:15" ht="15.75" x14ac:dyDescent="0.2">
      <c r="A7" s="2"/>
      <c r="B7" s="8"/>
      <c r="C7" s="34" t="s">
        <v>497</v>
      </c>
      <c r="D7" s="34"/>
      <c r="E7" s="35"/>
      <c r="F7" s="35"/>
      <c r="G7" s="35"/>
      <c r="H7" s="35"/>
      <c r="I7" s="36"/>
      <c r="J7" s="22"/>
      <c r="L7" s="130">
        <v>800</v>
      </c>
      <c r="M7" s="92" t="s">
        <v>18</v>
      </c>
      <c r="N7" s="131">
        <v>500.00000000099999</v>
      </c>
      <c r="O7" s="88">
        <v>1</v>
      </c>
    </row>
    <row r="8" spans="1:15" ht="15.75" thickBot="1" x14ac:dyDescent="0.25">
      <c r="A8" s="1"/>
      <c r="B8" s="7"/>
      <c r="C8" s="37"/>
      <c r="D8" s="38"/>
      <c r="E8" s="39"/>
      <c r="F8" s="38"/>
      <c r="G8" s="37"/>
      <c r="H8" s="38"/>
      <c r="I8" s="38"/>
      <c r="J8" s="21"/>
      <c r="L8" s="103"/>
      <c r="M8" s="93" t="s">
        <v>19</v>
      </c>
      <c r="N8" s="132">
        <v>800.00000000099999</v>
      </c>
      <c r="O8" s="89">
        <v>0</v>
      </c>
    </row>
    <row r="9" spans="1:15" ht="42.95" customHeight="1" thickBot="1" x14ac:dyDescent="0.25">
      <c r="A9" s="1"/>
      <c r="B9" s="7"/>
      <c r="C9" s="3" t="str">
        <f>'Unos podataka'!G19</f>
        <v>Ukupna dužina vodotoka koje se nalazi pod uticajem</v>
      </c>
      <c r="D9" s="39" t="s">
        <v>0</v>
      </c>
      <c r="E9" s="3" t="str">
        <f>'Unos podataka'!C9</f>
        <v>Predviđena godišnja proizvodnja (MWh/a)</v>
      </c>
      <c r="F9" s="39" t="s">
        <v>2</v>
      </c>
      <c r="G9" s="3" t="s">
        <v>179</v>
      </c>
      <c r="H9" s="40"/>
      <c r="I9" s="793" t="str">
        <f>IF(G11="","",VLOOKUP(G11,N3:O8,2))</f>
        <v/>
      </c>
      <c r="J9" s="21"/>
    </row>
    <row r="10" spans="1:15" ht="9.9499999999999993" customHeight="1" thickBot="1" x14ac:dyDescent="0.25">
      <c r="A10" s="1"/>
      <c r="B10" s="7"/>
      <c r="C10" s="39"/>
      <c r="D10" s="40"/>
      <c r="E10" s="39"/>
      <c r="F10" s="40"/>
      <c r="G10" s="39"/>
      <c r="H10" s="40"/>
      <c r="I10" s="794"/>
      <c r="J10" s="21"/>
    </row>
    <row r="11" spans="1:15" ht="20.100000000000001" customHeight="1" thickBot="1" x14ac:dyDescent="0.25">
      <c r="A11" s="1"/>
      <c r="B11" s="7"/>
      <c r="C11" s="127" t="str">
        <f>'Unos podataka'!I19</f>
        <v/>
      </c>
      <c r="D11" s="39" t="s">
        <v>0</v>
      </c>
      <c r="E11" s="128" t="str">
        <f>IF('Unos podataka'!E9="","",'Unos podataka'!E9/1000)</f>
        <v/>
      </c>
      <c r="F11" s="39" t="s">
        <v>2</v>
      </c>
      <c r="G11" s="178" t="str">
        <f>IF(OR(C11="",E11=""),"",C11/E11)</f>
        <v/>
      </c>
      <c r="H11" s="40"/>
      <c r="I11" s="795"/>
      <c r="J11" s="21"/>
    </row>
    <row r="12" spans="1:15" ht="15.75" thickBot="1" x14ac:dyDescent="0.25">
      <c r="A12" s="1"/>
      <c r="B12" s="31"/>
      <c r="C12" s="41"/>
      <c r="D12" s="19"/>
      <c r="E12" s="42"/>
      <c r="F12" s="19"/>
      <c r="G12" s="19"/>
      <c r="H12" s="19"/>
      <c r="I12" s="19"/>
      <c r="J12" s="23"/>
    </row>
    <row r="13" spans="1:15" ht="18" x14ac:dyDescent="0.2">
      <c r="A13" s="1"/>
      <c r="B13" s="1"/>
      <c r="C13" s="26"/>
      <c r="D13" s="26"/>
      <c r="E13" s="26"/>
      <c r="F13" s="26"/>
      <c r="G13" s="26"/>
      <c r="H13" s="26"/>
      <c r="I13" s="26"/>
      <c r="J13" s="1"/>
    </row>
    <row r="15" spans="1:15" ht="23.25" x14ac:dyDescent="0.35">
      <c r="B15" s="84"/>
    </row>
    <row r="18" spans="9:9" x14ac:dyDescent="0.2">
      <c r="I18" s="61"/>
    </row>
  </sheetData>
  <sheetProtection algorithmName="SHA-512" hashValue="2CGGd1+LAwY8fzUKq685du23cSIMMDa+2oOPjjAzSu79Q5X8xttdcJl3gtxhoxNGI3D4LpoQuvo7kb1DBn0sJw==" saltValue="JhCOpmkEWiLuU61eVIO8/w==" spinCount="100000" sheet="1" objects="1" scenarios="1"/>
  <mergeCells count="3">
    <mergeCell ref="L2:N2"/>
    <mergeCell ref="C3:I3"/>
    <mergeCell ref="I9:I11"/>
  </mergeCell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Tabelle13"/>
  <dimension ref="A1:J19"/>
  <sheetViews>
    <sheetView showGridLines="0" zoomScaleNormal="100" workbookViewId="0">
      <selection activeCell="D21" sqref="D21"/>
    </sheetView>
  </sheetViews>
  <sheetFormatPr defaultColWidth="11" defaultRowHeight="15.75" outlineLevelCol="1" x14ac:dyDescent="0.25"/>
  <cols>
    <col min="1" max="2" width="3.875" style="80" customWidth="1"/>
    <col min="3" max="3" width="9.375" style="80" customWidth="1"/>
    <col min="4" max="4" width="101.625" style="80" customWidth="1"/>
    <col min="5" max="5" width="3.875" style="80" customWidth="1"/>
    <col min="6" max="7" width="10.875" style="80"/>
    <col min="8" max="8" width="0" style="80" hidden="1" customWidth="1" outlineLevel="1"/>
    <col min="9" max="9" width="10.875" style="80" collapsed="1"/>
    <col min="10" max="10" width="10.875" style="80"/>
  </cols>
  <sheetData>
    <row r="1" spans="1:8" ht="16.5" thickBot="1" x14ac:dyDescent="0.3">
      <c r="A1" s="1"/>
      <c r="B1" s="1"/>
      <c r="C1" s="24"/>
      <c r="D1" s="1"/>
      <c r="E1" s="1"/>
    </row>
    <row r="2" spans="1:8" ht="17.100000000000001" customHeight="1" x14ac:dyDescent="0.25">
      <c r="A2" s="1"/>
      <c r="B2" s="6"/>
      <c r="C2" s="10"/>
      <c r="D2" s="11"/>
      <c r="E2" s="20"/>
      <c r="H2" s="80" t="s">
        <v>511</v>
      </c>
    </row>
    <row r="3" spans="1:8" ht="17.100000000000001" customHeight="1" x14ac:dyDescent="0.25">
      <c r="A3" s="1"/>
      <c r="B3" s="7"/>
      <c r="C3" s="796" t="s">
        <v>487</v>
      </c>
      <c r="D3" s="796"/>
      <c r="E3" s="30"/>
      <c r="H3" s="80">
        <v>0</v>
      </c>
    </row>
    <row r="4" spans="1:8" ht="17.100000000000001" customHeight="1" thickBot="1" x14ac:dyDescent="0.3">
      <c r="A4" s="1"/>
      <c r="B4" s="31"/>
      <c r="C4" s="32"/>
      <c r="D4" s="32"/>
      <c r="E4" s="23"/>
      <c r="H4" s="80">
        <v>1</v>
      </c>
    </row>
    <row r="5" spans="1:8" ht="17.100000000000001" customHeight="1" thickBot="1" x14ac:dyDescent="0.3">
      <c r="A5" s="1"/>
      <c r="B5" s="1"/>
      <c r="C5" s="26"/>
      <c r="D5" s="26"/>
      <c r="E5" s="1"/>
      <c r="H5" s="80">
        <v>2</v>
      </c>
    </row>
    <row r="6" spans="1:8" ht="17.100000000000001" customHeight="1" thickBot="1" x14ac:dyDescent="0.3">
      <c r="A6" s="1"/>
      <c r="B6" s="6"/>
      <c r="C6" s="10"/>
      <c r="D6" s="11"/>
      <c r="E6" s="20"/>
      <c r="H6" s="80">
        <v>3</v>
      </c>
    </row>
    <row r="7" spans="1:8" ht="17.100000000000001" customHeight="1" thickBot="1" x14ac:dyDescent="0.3">
      <c r="A7" s="2"/>
      <c r="B7" s="8"/>
      <c r="C7" s="106" t="s">
        <v>493</v>
      </c>
      <c r="D7" s="108" t="s">
        <v>148</v>
      </c>
      <c r="E7" s="22"/>
      <c r="H7" s="80">
        <v>4</v>
      </c>
    </row>
    <row r="8" spans="1:8" ht="33.950000000000003" customHeight="1" thickBot="1" x14ac:dyDescent="0.3">
      <c r="A8" s="1"/>
      <c r="B8" s="7"/>
      <c r="C8" s="110">
        <v>0</v>
      </c>
      <c r="D8" s="111" t="s">
        <v>183</v>
      </c>
      <c r="E8" s="21"/>
      <c r="H8" s="80">
        <v>5</v>
      </c>
    </row>
    <row r="9" spans="1:8" ht="33.950000000000003" customHeight="1" thickBot="1" x14ac:dyDescent="0.3">
      <c r="A9" s="1"/>
      <c r="B9" s="7"/>
      <c r="C9" s="110">
        <v>1</v>
      </c>
      <c r="D9" s="111" t="s">
        <v>184</v>
      </c>
      <c r="E9" s="21"/>
      <c r="H9" s="80" t="s">
        <v>82</v>
      </c>
    </row>
    <row r="10" spans="1:8" ht="33.950000000000003" customHeight="1" thickBot="1" x14ac:dyDescent="0.3">
      <c r="A10" s="1"/>
      <c r="B10" s="7"/>
      <c r="C10" s="110">
        <v>2</v>
      </c>
      <c r="D10" s="111" t="s">
        <v>185</v>
      </c>
      <c r="E10" s="21"/>
    </row>
    <row r="11" spans="1:8" ht="33.950000000000003" customHeight="1" thickBot="1" x14ac:dyDescent="0.3">
      <c r="A11" s="1"/>
      <c r="B11" s="7"/>
      <c r="C11" s="110">
        <v>3</v>
      </c>
      <c r="D11" s="111" t="s">
        <v>513</v>
      </c>
      <c r="E11" s="21"/>
    </row>
    <row r="12" spans="1:8" ht="33.950000000000003" customHeight="1" thickBot="1" x14ac:dyDescent="0.3">
      <c r="A12" s="1"/>
      <c r="B12" s="7"/>
      <c r="C12" s="110">
        <v>4</v>
      </c>
      <c r="D12" s="111" t="s">
        <v>512</v>
      </c>
      <c r="E12" s="21"/>
    </row>
    <row r="13" spans="1:8" ht="33.950000000000003" customHeight="1" thickBot="1" x14ac:dyDescent="0.3">
      <c r="A13" s="1"/>
      <c r="B13" s="7"/>
      <c r="C13" s="109">
        <v>5</v>
      </c>
      <c r="D13" s="107" t="s">
        <v>514</v>
      </c>
      <c r="E13" s="21"/>
    </row>
    <row r="14" spans="1:8" ht="17.100000000000001" customHeight="1" thickBot="1" x14ac:dyDescent="0.3">
      <c r="A14" s="1"/>
      <c r="B14" s="7"/>
      <c r="C14" s="37"/>
      <c r="D14" s="37"/>
      <c r="E14" s="21"/>
    </row>
    <row r="15" spans="1:8" ht="33.950000000000003" customHeight="1" thickBot="1" x14ac:dyDescent="0.3">
      <c r="A15" s="1"/>
      <c r="B15" s="7"/>
      <c r="C15" s="694" t="s">
        <v>82</v>
      </c>
      <c r="D15" s="112" t="s">
        <v>494</v>
      </c>
      <c r="E15" s="21"/>
    </row>
    <row r="16" spans="1:8" ht="16.5" thickBot="1" x14ac:dyDescent="0.3">
      <c r="A16" s="1"/>
      <c r="B16" s="31"/>
      <c r="C16" s="41"/>
      <c r="D16" s="19"/>
      <c r="E16" s="23"/>
    </row>
    <row r="17" spans="1:5" ht="18" x14ac:dyDescent="0.25">
      <c r="A17" s="1"/>
      <c r="B17" s="1"/>
      <c r="C17" s="26"/>
      <c r="D17" s="26"/>
      <c r="E17" s="1"/>
    </row>
    <row r="19" spans="1:5" ht="23.25" x14ac:dyDescent="0.35">
      <c r="B19" s="84"/>
    </row>
  </sheetData>
  <sheetProtection algorithmName="SHA-512" hashValue="CaztKcMvEtF+I970DKC+uxWhvqj0oHOTZcDXiABhnMNho5S7hXj3TdVwZe0wZDw+1MKRCxsrZzJ0iBOs3eLl5Q==" saltValue="Oh09k8aUU+5NVkLyEAMJXw==" spinCount="100000" sheet="1" objects="1" scenarios="1"/>
  <mergeCells count="1">
    <mergeCell ref="C3:D3"/>
  </mergeCells>
  <conditionalFormatting sqref="C15">
    <cfRule type="expression" dxfId="226" priority="1">
      <formula>$C$15&lt;&gt;$H$9</formula>
    </cfRule>
  </conditionalFormatting>
  <dataValidations count="1">
    <dataValidation type="list" allowBlank="1" showInputMessage="1" showErrorMessage="1" errorTitle="Wrong value!" error="Only integer values between 0 and 5 allowed." prompt="Izaberite " sqref="C15" xr:uid="{00000000-0002-0000-0D00-000000000000}">
      <formula1>$H$3:$H$9</formula1>
    </dataValidation>
  </dataValidations>
  <pageMargins left="0.7" right="0.7" top="0.78740157499999996" bottom="0.78740157499999996"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Tabelle14"/>
  <dimension ref="A1:J19"/>
  <sheetViews>
    <sheetView showGridLines="0" zoomScaleNormal="100" workbookViewId="0">
      <selection activeCell="C15" sqref="C15"/>
    </sheetView>
  </sheetViews>
  <sheetFormatPr defaultColWidth="11" defaultRowHeight="15.75" outlineLevelCol="1" x14ac:dyDescent="0.25"/>
  <cols>
    <col min="1" max="2" width="3.875" style="80" customWidth="1"/>
    <col min="3" max="3" width="9.375" style="80" customWidth="1"/>
    <col min="4" max="4" width="74.625" style="80" customWidth="1"/>
    <col min="5" max="5" width="3.875" style="80" customWidth="1"/>
    <col min="6" max="7" width="10.875" style="80"/>
    <col min="8" max="8" width="0" style="80" hidden="1" customWidth="1" outlineLevel="1"/>
    <col min="9" max="9" width="10.875" style="80" collapsed="1"/>
    <col min="10" max="10" width="10.875" style="80"/>
  </cols>
  <sheetData>
    <row r="1" spans="1:8" ht="16.5" thickBot="1" x14ac:dyDescent="0.3">
      <c r="A1" s="1"/>
      <c r="B1" s="1"/>
      <c r="C1" s="24"/>
      <c r="D1" s="1"/>
      <c r="E1" s="1"/>
    </row>
    <row r="2" spans="1:8" ht="17.100000000000001" customHeight="1" x14ac:dyDescent="0.25">
      <c r="A2" s="1"/>
      <c r="B2" s="6"/>
      <c r="C2" s="10"/>
      <c r="D2" s="11"/>
      <c r="E2" s="20"/>
      <c r="H2" s="80" t="s">
        <v>511</v>
      </c>
    </row>
    <row r="3" spans="1:8" ht="17.100000000000001" customHeight="1" x14ac:dyDescent="0.25">
      <c r="A3" s="1"/>
      <c r="B3" s="7"/>
      <c r="C3" s="796" t="s">
        <v>486</v>
      </c>
      <c r="D3" s="796"/>
      <c r="E3" s="30"/>
      <c r="H3" s="80">
        <v>0</v>
      </c>
    </row>
    <row r="4" spans="1:8" ht="17.100000000000001" customHeight="1" thickBot="1" x14ac:dyDescent="0.3">
      <c r="A4" s="1"/>
      <c r="B4" s="31"/>
      <c r="C4" s="32"/>
      <c r="D4" s="32"/>
      <c r="E4" s="23"/>
      <c r="H4" s="80">
        <v>1</v>
      </c>
    </row>
    <row r="5" spans="1:8" ht="17.100000000000001" customHeight="1" thickBot="1" x14ac:dyDescent="0.3">
      <c r="A5" s="1"/>
      <c r="B5" s="1"/>
      <c r="C5" s="26"/>
      <c r="D5" s="26"/>
      <c r="E5" s="1"/>
      <c r="H5" s="80">
        <v>2</v>
      </c>
    </row>
    <row r="6" spans="1:8" ht="17.100000000000001" customHeight="1" thickBot="1" x14ac:dyDescent="0.3">
      <c r="A6" s="1"/>
      <c r="B6" s="6"/>
      <c r="C6" s="10"/>
      <c r="D6" s="11"/>
      <c r="E6" s="20"/>
      <c r="H6" s="80">
        <v>3</v>
      </c>
    </row>
    <row r="7" spans="1:8" ht="17.100000000000001" customHeight="1" thickBot="1" x14ac:dyDescent="0.3">
      <c r="A7" s="2"/>
      <c r="B7" s="8"/>
      <c r="C7" s="106" t="s">
        <v>493</v>
      </c>
      <c r="D7" s="108" t="s">
        <v>148</v>
      </c>
      <c r="E7" s="22"/>
      <c r="H7" s="80">
        <v>4</v>
      </c>
    </row>
    <row r="8" spans="1:8" ht="33.950000000000003" customHeight="1" thickBot="1" x14ac:dyDescent="0.3">
      <c r="A8" s="1"/>
      <c r="B8" s="7"/>
      <c r="C8" s="110">
        <v>0</v>
      </c>
      <c r="D8" s="111" t="s">
        <v>186</v>
      </c>
      <c r="E8" s="21"/>
      <c r="H8" s="80">
        <v>5</v>
      </c>
    </row>
    <row r="9" spans="1:8" ht="33.950000000000003" customHeight="1" thickBot="1" x14ac:dyDescent="0.3">
      <c r="A9" s="1"/>
      <c r="B9" s="7"/>
      <c r="C9" s="110">
        <v>1</v>
      </c>
      <c r="D9" s="111" t="s">
        <v>187</v>
      </c>
      <c r="E9" s="21"/>
      <c r="H9" s="80" t="s">
        <v>82</v>
      </c>
    </row>
    <row r="10" spans="1:8" ht="33.950000000000003" customHeight="1" thickBot="1" x14ac:dyDescent="0.3">
      <c r="A10" s="1"/>
      <c r="B10" s="7"/>
      <c r="C10" s="110">
        <v>2</v>
      </c>
      <c r="D10" s="111" t="s">
        <v>188</v>
      </c>
      <c r="E10" s="21"/>
    </row>
    <row r="11" spans="1:8" ht="33.950000000000003" customHeight="1" thickBot="1" x14ac:dyDescent="0.3">
      <c r="A11" s="1"/>
      <c r="B11" s="7"/>
      <c r="C11" s="110">
        <v>3</v>
      </c>
      <c r="D11" s="111" t="s">
        <v>189</v>
      </c>
      <c r="E11" s="21"/>
    </row>
    <row r="12" spans="1:8" ht="33.950000000000003" customHeight="1" thickBot="1" x14ac:dyDescent="0.3">
      <c r="A12" s="1"/>
      <c r="B12" s="7"/>
      <c r="C12" s="110">
        <v>4</v>
      </c>
      <c r="D12" s="111" t="s">
        <v>190</v>
      </c>
      <c r="E12" s="21"/>
    </row>
    <row r="13" spans="1:8" ht="33.950000000000003" customHeight="1" thickBot="1" x14ac:dyDescent="0.3">
      <c r="A13" s="1"/>
      <c r="B13" s="7"/>
      <c r="C13" s="109">
        <v>5</v>
      </c>
      <c r="D13" s="107" t="s">
        <v>191</v>
      </c>
      <c r="E13" s="21"/>
    </row>
    <row r="14" spans="1:8" ht="17.100000000000001" customHeight="1" thickBot="1" x14ac:dyDescent="0.3">
      <c r="A14" s="1"/>
      <c r="B14" s="7"/>
      <c r="C14" s="37"/>
      <c r="D14" s="37"/>
      <c r="E14" s="21"/>
    </row>
    <row r="15" spans="1:8" ht="33.950000000000003" customHeight="1" thickBot="1" x14ac:dyDescent="0.3">
      <c r="A15" s="1"/>
      <c r="B15" s="7"/>
      <c r="C15" s="694" t="s">
        <v>82</v>
      </c>
      <c r="D15" s="112" t="s">
        <v>494</v>
      </c>
      <c r="E15" s="21"/>
    </row>
    <row r="16" spans="1:8" ht="16.5" thickBot="1" x14ac:dyDescent="0.3">
      <c r="A16" s="1"/>
      <c r="B16" s="31"/>
      <c r="C16" s="41"/>
      <c r="D16" s="19"/>
      <c r="E16" s="23"/>
    </row>
    <row r="17" spans="1:5" ht="18" x14ac:dyDescent="0.25">
      <c r="A17" s="1"/>
      <c r="B17" s="1"/>
      <c r="C17" s="26"/>
      <c r="D17" s="26"/>
      <c r="E17" s="1"/>
    </row>
    <row r="19" spans="1:5" ht="23.25" x14ac:dyDescent="0.35">
      <c r="B19" s="84"/>
    </row>
  </sheetData>
  <sheetProtection algorithmName="SHA-512" hashValue="gkHG27YNpWRobUeIV4aQ7G/5Qe0XlIvEIZZWoZuNEKFZzWy6Xi8dYK0yzF4BQAuQYCqE/2oWSLuQM/24pp/zCA==" saltValue="X378CT2Q3K+f9gbq5uLscQ==" spinCount="100000" sheet="1" objects="1" scenarios="1"/>
  <mergeCells count="1">
    <mergeCell ref="C3:D3"/>
  </mergeCells>
  <conditionalFormatting sqref="C15">
    <cfRule type="expression" dxfId="225" priority="1">
      <formula>$C$15&lt;&gt;$H$9</formula>
    </cfRule>
  </conditionalFormatting>
  <dataValidations count="1">
    <dataValidation type="list" allowBlank="1" showInputMessage="1" showErrorMessage="1" errorTitle="Wrong value!" error="Only integer values between 0 and 5 allowed." prompt="Izaberite " sqref="C15" xr:uid="{00000000-0002-0000-0E00-000000000000}">
      <formula1>$H$3:$H$9</formula1>
    </dataValidation>
  </dataValidation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Tabelle15"/>
  <dimension ref="A1:J19"/>
  <sheetViews>
    <sheetView showGridLines="0" topLeftCell="B1" zoomScaleNormal="100" workbookViewId="0">
      <selection activeCell="D25" sqref="D25"/>
    </sheetView>
  </sheetViews>
  <sheetFormatPr defaultColWidth="11" defaultRowHeight="15.75" outlineLevelCol="1" x14ac:dyDescent="0.25"/>
  <cols>
    <col min="1" max="2" width="3.875" style="80" customWidth="1"/>
    <col min="3" max="3" width="9.375" style="80" customWidth="1"/>
    <col min="4" max="4" width="74.625" style="80" customWidth="1"/>
    <col min="5" max="5" width="3.875" style="80" customWidth="1"/>
    <col min="6" max="7" width="10.875" style="80"/>
    <col min="8" max="8" width="0" style="80" hidden="1" customWidth="1" outlineLevel="1"/>
    <col min="9" max="9" width="10.875" style="80" collapsed="1"/>
    <col min="10" max="10" width="10.875" style="80"/>
  </cols>
  <sheetData>
    <row r="1" spans="1:8" ht="16.5" thickBot="1" x14ac:dyDescent="0.3">
      <c r="A1" s="1"/>
      <c r="B1" s="1"/>
      <c r="C1" s="24"/>
      <c r="D1" s="1"/>
      <c r="E1" s="1"/>
    </row>
    <row r="2" spans="1:8" ht="17.100000000000001" customHeight="1" x14ac:dyDescent="0.25">
      <c r="A2" s="1"/>
      <c r="B2" s="6"/>
      <c r="C2" s="10"/>
      <c r="D2" s="11"/>
      <c r="E2" s="20"/>
      <c r="H2" s="80" t="s">
        <v>511</v>
      </c>
    </row>
    <row r="3" spans="1:8" ht="17.100000000000001" customHeight="1" x14ac:dyDescent="0.25">
      <c r="A3" s="1"/>
      <c r="B3" s="7"/>
      <c r="C3" s="796" t="s">
        <v>485</v>
      </c>
      <c r="D3" s="796"/>
      <c r="E3" s="30"/>
      <c r="H3" s="80">
        <v>0</v>
      </c>
    </row>
    <row r="4" spans="1:8" ht="17.100000000000001" customHeight="1" thickBot="1" x14ac:dyDescent="0.3">
      <c r="A4" s="1"/>
      <c r="B4" s="31"/>
      <c r="C4" s="32"/>
      <c r="D4" s="32"/>
      <c r="E4" s="23"/>
      <c r="H4" s="80">
        <v>1</v>
      </c>
    </row>
    <row r="5" spans="1:8" ht="17.100000000000001" customHeight="1" thickBot="1" x14ac:dyDescent="0.3">
      <c r="A5" s="1"/>
      <c r="B5" s="1"/>
      <c r="C5" s="26"/>
      <c r="D5" s="26"/>
      <c r="E5" s="1"/>
      <c r="H5" s="80">
        <v>2</v>
      </c>
    </row>
    <row r="6" spans="1:8" ht="17.100000000000001" customHeight="1" thickBot="1" x14ac:dyDescent="0.3">
      <c r="A6" s="1"/>
      <c r="B6" s="6"/>
      <c r="C6" s="10"/>
      <c r="D6" s="11"/>
      <c r="E6" s="20"/>
      <c r="H6" s="80">
        <v>3</v>
      </c>
    </row>
    <row r="7" spans="1:8" ht="17.100000000000001" customHeight="1" thickBot="1" x14ac:dyDescent="0.3">
      <c r="A7" s="2"/>
      <c r="B7" s="8"/>
      <c r="C7" s="106" t="s">
        <v>493</v>
      </c>
      <c r="D7" s="108" t="s">
        <v>148</v>
      </c>
      <c r="E7" s="22"/>
      <c r="H7" s="80">
        <v>4</v>
      </c>
    </row>
    <row r="8" spans="1:8" ht="33.950000000000003" customHeight="1" thickBot="1" x14ac:dyDescent="0.3">
      <c r="A8" s="1"/>
      <c r="B8" s="7"/>
      <c r="C8" s="110">
        <v>0</v>
      </c>
      <c r="D8" s="111" t="s">
        <v>192</v>
      </c>
      <c r="E8" s="21"/>
      <c r="H8" s="80">
        <v>5</v>
      </c>
    </row>
    <row r="9" spans="1:8" ht="33.950000000000003" customHeight="1" thickBot="1" x14ac:dyDescent="0.3">
      <c r="A9" s="1"/>
      <c r="B9" s="7"/>
      <c r="C9" s="110">
        <v>1</v>
      </c>
      <c r="D9" s="111" t="s">
        <v>193</v>
      </c>
      <c r="E9" s="21"/>
      <c r="H9" s="80" t="s">
        <v>82</v>
      </c>
    </row>
    <row r="10" spans="1:8" ht="33.950000000000003" customHeight="1" thickBot="1" x14ac:dyDescent="0.3">
      <c r="A10" s="1"/>
      <c r="B10" s="7"/>
      <c r="C10" s="110">
        <v>2</v>
      </c>
      <c r="D10" s="111" t="s">
        <v>194</v>
      </c>
      <c r="E10" s="21"/>
    </row>
    <row r="11" spans="1:8" ht="33.950000000000003" customHeight="1" thickBot="1" x14ac:dyDescent="0.3">
      <c r="A11" s="1"/>
      <c r="B11" s="7"/>
      <c r="C11" s="110">
        <v>3</v>
      </c>
      <c r="D11" s="111" t="s">
        <v>195</v>
      </c>
      <c r="E11" s="21"/>
    </row>
    <row r="12" spans="1:8" ht="33.950000000000003" customHeight="1" thickBot="1" x14ac:dyDescent="0.3">
      <c r="A12" s="1"/>
      <c r="B12" s="7"/>
      <c r="C12" s="110">
        <v>4</v>
      </c>
      <c r="D12" s="111" t="s">
        <v>196</v>
      </c>
      <c r="E12" s="21"/>
    </row>
    <row r="13" spans="1:8" ht="33.950000000000003" customHeight="1" thickBot="1" x14ac:dyDescent="0.3">
      <c r="A13" s="1"/>
      <c r="B13" s="7"/>
      <c r="C13" s="109">
        <v>5</v>
      </c>
      <c r="D13" s="107" t="s">
        <v>197</v>
      </c>
      <c r="E13" s="21"/>
    </row>
    <row r="14" spans="1:8" ht="17.100000000000001" customHeight="1" thickBot="1" x14ac:dyDescent="0.3">
      <c r="A14" s="1"/>
      <c r="B14" s="7"/>
      <c r="C14" s="37"/>
      <c r="D14" s="37"/>
      <c r="E14" s="21"/>
    </row>
    <row r="15" spans="1:8" ht="33.950000000000003" customHeight="1" thickBot="1" x14ac:dyDescent="0.3">
      <c r="A15" s="1"/>
      <c r="B15" s="7"/>
      <c r="C15" s="694" t="s">
        <v>82</v>
      </c>
      <c r="D15" s="112" t="s">
        <v>494</v>
      </c>
      <c r="E15" s="21"/>
    </row>
    <row r="16" spans="1:8" ht="16.5" thickBot="1" x14ac:dyDescent="0.3">
      <c r="A16" s="1"/>
      <c r="B16" s="31"/>
      <c r="C16" s="41"/>
      <c r="D16" s="19"/>
      <c r="E16" s="23"/>
    </row>
    <row r="17" spans="1:5" ht="18" x14ac:dyDescent="0.25">
      <c r="A17" s="1"/>
      <c r="B17" s="1"/>
      <c r="C17" s="26"/>
      <c r="D17" s="26"/>
      <c r="E17" s="1"/>
    </row>
    <row r="19" spans="1:5" ht="23.25" x14ac:dyDescent="0.35">
      <c r="B19" s="84"/>
    </row>
  </sheetData>
  <sheetProtection algorithmName="SHA-512" hashValue="QuYb6GiC6FI34TnqCxst8qWpmRoDrbdWMzko9JjSGTSMg3RL6ZKtKPKblMJ5+ujjqJKG3vO4AGkl7eqmZrAjuQ==" saltValue="qF4wG87TqoyysdzhSwEBxQ==" spinCount="100000" sheet="1" objects="1" scenarios="1"/>
  <mergeCells count="1">
    <mergeCell ref="C3:D3"/>
  </mergeCells>
  <conditionalFormatting sqref="C15">
    <cfRule type="expression" dxfId="224" priority="1">
      <formula>$C$15&lt;&gt;$H$9</formula>
    </cfRule>
  </conditionalFormatting>
  <dataValidations count="1">
    <dataValidation type="list" allowBlank="1" showInputMessage="1" showErrorMessage="1" errorTitle="Wrong value!" error="Only integer values between 0 and 5 allowed." prompt="Izaberite " sqref="C15" xr:uid="{00000000-0002-0000-0F00-000000000000}">
      <formula1>$H$3:$H$9</formula1>
    </dataValidation>
  </dataValidations>
  <pageMargins left="0.7" right="0.7" top="0.78740157499999996" bottom="0.78740157499999996"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Tabelle16"/>
  <dimension ref="B1:G19"/>
  <sheetViews>
    <sheetView showGridLines="0" zoomScaleNormal="100" workbookViewId="0">
      <selection activeCell="K23" sqref="K23"/>
    </sheetView>
  </sheetViews>
  <sheetFormatPr defaultColWidth="10.875" defaultRowHeight="15" x14ac:dyDescent="0.2"/>
  <cols>
    <col min="1" max="2" width="3.875" style="80" customWidth="1"/>
    <col min="3" max="3" width="35.625" style="80" customWidth="1"/>
    <col min="4" max="5" width="10.875" style="80"/>
    <col min="6" max="6" width="12.375" style="80" customWidth="1"/>
    <col min="7" max="7" width="3.875" style="80" customWidth="1"/>
    <col min="8" max="16384" width="10.875" style="80"/>
  </cols>
  <sheetData>
    <row r="1" spans="2:7" ht="15.75" thickBot="1" x14ac:dyDescent="0.25"/>
    <row r="2" spans="2:7" x14ac:dyDescent="0.2">
      <c r="B2" s="6"/>
      <c r="C2" s="10"/>
      <c r="D2" s="11"/>
      <c r="E2" s="12"/>
      <c r="F2" s="11"/>
      <c r="G2" s="20"/>
    </row>
    <row r="3" spans="2:7" ht="15.75" x14ac:dyDescent="0.2">
      <c r="B3" s="7"/>
      <c r="C3" s="33" t="s">
        <v>475</v>
      </c>
      <c r="D3" s="33"/>
      <c r="E3" s="33"/>
      <c r="F3" s="33"/>
      <c r="G3" s="30"/>
    </row>
    <row r="4" spans="2:7" ht="18.75" thickBot="1" x14ac:dyDescent="0.25">
      <c r="B4" s="31"/>
      <c r="C4" s="32"/>
      <c r="D4" s="32"/>
      <c r="E4" s="32"/>
      <c r="F4" s="32"/>
      <c r="G4" s="23"/>
    </row>
    <row r="5" spans="2:7" ht="15.75" thickBot="1" x14ac:dyDescent="0.25"/>
    <row r="6" spans="2:7" ht="15.75" thickBot="1" x14ac:dyDescent="0.25">
      <c r="B6" s="6"/>
      <c r="C6" s="11"/>
      <c r="D6" s="10"/>
      <c r="E6" s="10"/>
      <c r="F6" s="11"/>
      <c r="G6" s="20"/>
    </row>
    <row r="7" spans="2:7" ht="32.25" thickBot="1" x14ac:dyDescent="0.25">
      <c r="B7" s="7"/>
      <c r="C7" s="62" t="s">
        <v>3</v>
      </c>
      <c r="D7" s="63" t="s">
        <v>494</v>
      </c>
      <c r="E7" s="63" t="s">
        <v>145</v>
      </c>
      <c r="F7" s="63" t="s">
        <v>146</v>
      </c>
      <c r="G7" s="21"/>
    </row>
    <row r="8" spans="2:7" ht="17.100000000000001" customHeight="1" x14ac:dyDescent="0.2">
      <c r="B8" s="8"/>
      <c r="C8" s="77" t="s">
        <v>477</v>
      </c>
      <c r="D8" s="696" t="str">
        <f>'UV1 -Iskorištenost hidroe. pot.'!C15</f>
        <v>Izaberite</v>
      </c>
      <c r="E8" s="78">
        <v>0.2</v>
      </c>
      <c r="F8" s="79" t="str">
        <f>IF(ISNUMBER(D8),E8*D8,"")</f>
        <v/>
      </c>
      <c r="G8" s="632">
        <f>IF(F8&lt;&gt;"",1,0)</f>
        <v>0</v>
      </c>
    </row>
    <row r="9" spans="2:7" ht="17.100000000000001" customHeight="1" x14ac:dyDescent="0.2">
      <c r="B9" s="7"/>
      <c r="C9" s="77" t="s">
        <v>489</v>
      </c>
      <c r="D9" s="696" t="str">
        <f>'UV2 -Karakteristike HE'!G41</f>
        <v/>
      </c>
      <c r="E9" s="78">
        <v>0.25</v>
      </c>
      <c r="F9" s="79" t="str">
        <f>IF(D9="","",E9*D9)</f>
        <v/>
      </c>
      <c r="G9" s="632">
        <f t="shared" ref="G9:G13" si="0">IF(F9&lt;&gt;"",1,0)</f>
        <v>0</v>
      </c>
    </row>
    <row r="10" spans="2:7" ht="17.100000000000001" customHeight="1" x14ac:dyDescent="0.2">
      <c r="B10" s="7"/>
      <c r="C10" s="77" t="s">
        <v>478</v>
      </c>
      <c r="D10" s="696" t="str">
        <f>'UV3 - Efikasnost iskoriš. vode'!I9</f>
        <v/>
      </c>
      <c r="E10" s="78">
        <v>0.2</v>
      </c>
      <c r="F10" s="79" t="str">
        <f>IF(D10="","",E10*D10)</f>
        <v/>
      </c>
      <c r="G10" s="632">
        <f t="shared" si="0"/>
        <v>0</v>
      </c>
    </row>
    <row r="11" spans="2:7" x14ac:dyDescent="0.2">
      <c r="B11" s="7"/>
      <c r="C11" s="77" t="s">
        <v>479</v>
      </c>
      <c r="D11" s="696" t="str">
        <f>'UV4 - Promjena pot. rizika'!C15</f>
        <v>Izaberite</v>
      </c>
      <c r="E11" s="78">
        <v>0.1</v>
      </c>
      <c r="F11" s="79" t="str">
        <f>IF(ISNUMBER(D11),E11*D11,"")</f>
        <v/>
      </c>
      <c r="G11" s="632">
        <f t="shared" si="0"/>
        <v>0</v>
      </c>
    </row>
    <row r="12" spans="2:7" x14ac:dyDescent="0.2">
      <c r="B12" s="7"/>
      <c r="C12" s="77" t="s">
        <v>480</v>
      </c>
      <c r="D12" s="696" t="str">
        <f>'UV5 - Utjecaj na kv. vode'!C15</f>
        <v>Izaberite</v>
      </c>
      <c r="E12" s="78">
        <v>0.1</v>
      </c>
      <c r="F12" s="79" t="str">
        <f>IF(ISNUMBER(D12),E12*D12,"")</f>
        <v/>
      </c>
      <c r="G12" s="632">
        <f t="shared" si="0"/>
        <v>0</v>
      </c>
    </row>
    <row r="13" spans="2:7" ht="15.75" thickBot="1" x14ac:dyDescent="0.25">
      <c r="B13" s="7"/>
      <c r="C13" s="77" t="s">
        <v>481</v>
      </c>
      <c r="D13" s="696" t="str">
        <f>'UV6 - Utjecaj na podzemen vode'!C15</f>
        <v>Izaberite</v>
      </c>
      <c r="E13" s="638">
        <v>0.15</v>
      </c>
      <c r="F13" s="79" t="str">
        <f>IF(ISNUMBER(D13),E13*D13,"")</f>
        <v/>
      </c>
      <c r="G13" s="632">
        <f t="shared" si="0"/>
        <v>0</v>
      </c>
    </row>
    <row r="14" spans="2:7" ht="16.5" thickBot="1" x14ac:dyDescent="0.25">
      <c r="B14" s="8"/>
      <c r="C14" s="81" t="s">
        <v>149</v>
      </c>
      <c r="D14" s="83"/>
      <c r="E14" s="640">
        <f>SUM(E8:E13)</f>
        <v>1</v>
      </c>
      <c r="F14" s="695" t="str">
        <f>IF(SUM(G8:G13)=6,SUM(F8:F13),"")</f>
        <v/>
      </c>
      <c r="G14" s="22"/>
    </row>
    <row r="15" spans="2:7" ht="15.75" thickBot="1" x14ac:dyDescent="0.25">
      <c r="B15" s="31"/>
      <c r="C15" s="18"/>
      <c r="D15" s="18"/>
      <c r="E15" s="18"/>
      <c r="F15" s="18"/>
      <c r="G15" s="23"/>
    </row>
    <row r="17" spans="4:5" x14ac:dyDescent="0.2">
      <c r="D17" s="520" t="str">
        <f>IF(SUM(G8:G13)=6,F14/5,"-")</f>
        <v>-</v>
      </c>
      <c r="E17" s="80" t="s">
        <v>476</v>
      </c>
    </row>
    <row r="19" spans="4:5" x14ac:dyDescent="0.2">
      <c r="E19" s="639"/>
    </row>
  </sheetData>
  <sheetProtection algorithmName="SHA-512" hashValue="vyIa/0bGv8L6TY8rrJd2t4TQ0Wstu0GS49jhkFRmURDWVs36DenE2dhSUC0uJARIdhuHjT4b1VNKdKUYVZ9zXA==" saltValue="8bElfJGQ/ycqz29W1lar9Q==" spinCount="100000" sheet="1" objects="1" scenarios="1"/>
  <conditionalFormatting sqref="D8:D13">
    <cfRule type="containsText" dxfId="223" priority="1" operator="containsText" text="Izaberite">
      <formula>NOT(ISERROR(SEARCH("Izaberite",D8)))</formula>
    </cfRule>
  </conditionalFormatting>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Tabelle17"/>
  <dimension ref="A1:J19"/>
  <sheetViews>
    <sheetView showGridLines="0" zoomScaleNormal="100" workbookViewId="0">
      <selection activeCell="C15" sqref="C15"/>
    </sheetView>
  </sheetViews>
  <sheetFormatPr defaultColWidth="11" defaultRowHeight="15.75" outlineLevelCol="1" x14ac:dyDescent="0.25"/>
  <cols>
    <col min="1" max="2" width="3.875" style="80" customWidth="1"/>
    <col min="3" max="3" width="9.375" style="80" customWidth="1"/>
    <col min="4" max="4" width="74.625" style="80" customWidth="1"/>
    <col min="5" max="5" width="3.875" style="80" customWidth="1"/>
    <col min="6" max="7" width="10.875" style="80"/>
    <col min="8" max="8" width="0" style="80" hidden="1" customWidth="1" outlineLevel="1"/>
    <col min="9" max="9" width="10.875" style="80" collapsed="1"/>
    <col min="10" max="10" width="10.875" style="80"/>
  </cols>
  <sheetData>
    <row r="1" spans="1:8" ht="16.5" thickBot="1" x14ac:dyDescent="0.3">
      <c r="A1" s="1"/>
      <c r="B1" s="1"/>
      <c r="C1" s="24"/>
      <c r="D1" s="1"/>
      <c r="E1" s="1"/>
    </row>
    <row r="2" spans="1:8" ht="17.100000000000001" customHeight="1" x14ac:dyDescent="0.25">
      <c r="A2" s="1"/>
      <c r="B2" s="6"/>
      <c r="C2" s="10"/>
      <c r="D2" s="11"/>
      <c r="E2" s="20"/>
      <c r="H2" s="80" t="s">
        <v>511</v>
      </c>
    </row>
    <row r="3" spans="1:8" ht="17.100000000000001" customHeight="1" x14ac:dyDescent="0.25">
      <c r="A3" s="1"/>
      <c r="B3" s="7"/>
      <c r="C3" s="796" t="s">
        <v>198</v>
      </c>
      <c r="D3" s="796"/>
      <c r="E3" s="30"/>
      <c r="H3" s="80">
        <v>1</v>
      </c>
    </row>
    <row r="4" spans="1:8" ht="17.100000000000001" customHeight="1" thickBot="1" x14ac:dyDescent="0.3">
      <c r="A4" s="1"/>
      <c r="B4" s="31"/>
      <c r="C4" s="32"/>
      <c r="D4" s="32"/>
      <c r="E4" s="23"/>
      <c r="H4" s="80">
        <v>2</v>
      </c>
    </row>
    <row r="5" spans="1:8" ht="17.100000000000001" customHeight="1" thickBot="1" x14ac:dyDescent="0.3">
      <c r="A5" s="1"/>
      <c r="B5" s="1"/>
      <c r="C5" s="26"/>
      <c r="D5" s="26"/>
      <c r="E5" s="1"/>
      <c r="H5" s="80">
        <v>3</v>
      </c>
    </row>
    <row r="6" spans="1:8" ht="17.100000000000001" customHeight="1" thickBot="1" x14ac:dyDescent="0.3">
      <c r="A6" s="1"/>
      <c r="B6" s="6"/>
      <c r="C6" s="10"/>
      <c r="D6" s="11"/>
      <c r="E6" s="20"/>
      <c r="H6" s="80">
        <v>4</v>
      </c>
    </row>
    <row r="7" spans="1:8" ht="17.100000000000001" customHeight="1" thickBot="1" x14ac:dyDescent="0.3">
      <c r="A7" s="2"/>
      <c r="B7" s="8"/>
      <c r="C7" s="106" t="s">
        <v>493</v>
      </c>
      <c r="D7" s="108" t="s">
        <v>148</v>
      </c>
      <c r="E7" s="22"/>
      <c r="H7" s="80">
        <v>5</v>
      </c>
    </row>
    <row r="8" spans="1:8" ht="33.950000000000003" customHeight="1" thickBot="1" x14ac:dyDescent="0.3">
      <c r="A8" s="1"/>
      <c r="B8" s="7"/>
      <c r="C8" s="110">
        <v>0</v>
      </c>
      <c r="D8" s="111" t="s">
        <v>199</v>
      </c>
      <c r="E8" s="21"/>
      <c r="H8" s="80" t="s">
        <v>82</v>
      </c>
    </row>
    <row r="9" spans="1:8" ht="33.950000000000003" customHeight="1" thickBot="1" x14ac:dyDescent="0.3">
      <c r="A9" s="1"/>
      <c r="B9" s="7"/>
      <c r="C9" s="110">
        <v>1</v>
      </c>
      <c r="D9" s="111" t="s">
        <v>200</v>
      </c>
      <c r="E9" s="21"/>
    </row>
    <row r="10" spans="1:8" ht="33.950000000000003" customHeight="1" thickBot="1" x14ac:dyDescent="0.3">
      <c r="A10" s="1"/>
      <c r="B10" s="7"/>
      <c r="C10" s="110">
        <v>2</v>
      </c>
      <c r="D10" s="111" t="s">
        <v>201</v>
      </c>
      <c r="E10" s="21"/>
    </row>
    <row r="11" spans="1:8" ht="33.950000000000003" customHeight="1" thickBot="1" x14ac:dyDescent="0.3">
      <c r="A11" s="1"/>
      <c r="B11" s="7"/>
      <c r="C11" s="110">
        <v>3</v>
      </c>
      <c r="D11" s="111" t="s">
        <v>202</v>
      </c>
      <c r="E11" s="21"/>
    </row>
    <row r="12" spans="1:8" ht="33.950000000000003" customHeight="1" thickBot="1" x14ac:dyDescent="0.3">
      <c r="A12" s="1"/>
      <c r="B12" s="7"/>
      <c r="C12" s="110">
        <v>4</v>
      </c>
      <c r="D12" s="111" t="s">
        <v>203</v>
      </c>
      <c r="E12" s="21"/>
    </row>
    <row r="13" spans="1:8" ht="33.950000000000003" customHeight="1" thickBot="1" x14ac:dyDescent="0.3">
      <c r="A13" s="1"/>
      <c r="B13" s="7"/>
      <c r="C13" s="109">
        <v>5</v>
      </c>
      <c r="D13" s="107" t="s">
        <v>204</v>
      </c>
      <c r="E13" s="21"/>
    </row>
    <row r="14" spans="1:8" ht="17.100000000000001" customHeight="1" thickBot="1" x14ac:dyDescent="0.3">
      <c r="A14" s="1"/>
      <c r="B14" s="7"/>
      <c r="C14" s="37"/>
      <c r="D14" s="37"/>
      <c r="E14" s="21"/>
    </row>
    <row r="15" spans="1:8" ht="33.950000000000003" customHeight="1" thickBot="1" x14ac:dyDescent="0.3">
      <c r="A15" s="1"/>
      <c r="B15" s="7"/>
      <c r="C15" s="694" t="s">
        <v>82</v>
      </c>
      <c r="D15" s="112" t="s">
        <v>494</v>
      </c>
      <c r="E15" s="21"/>
    </row>
    <row r="16" spans="1:8" ht="16.5" thickBot="1" x14ac:dyDescent="0.3">
      <c r="A16" s="1"/>
      <c r="B16" s="31"/>
      <c r="C16" s="41"/>
      <c r="D16" s="19"/>
      <c r="E16" s="23"/>
    </row>
    <row r="17" spans="1:5" ht="18" x14ac:dyDescent="0.25">
      <c r="A17" s="1"/>
      <c r="B17" s="1"/>
      <c r="C17" s="26"/>
      <c r="D17" s="26"/>
      <c r="E17" s="1"/>
    </row>
    <row r="19" spans="1:5" ht="23.25" x14ac:dyDescent="0.35">
      <c r="B19" s="84"/>
    </row>
  </sheetData>
  <sheetProtection algorithmName="SHA-512" hashValue="Bf6R3BvkM1gJ/gjPhq8BFglNwqlzys+Dhrpwx3j9YiyFvin0XNmTiYZhpmT6G1HGSFQT2Dzhhl3rE+Qj8fKKaQ==" saltValue="PqPSMhgE9fHNUt6y80DeJQ==" spinCount="100000" sheet="1" objects="1" scenarios="1"/>
  <mergeCells count="1">
    <mergeCell ref="C3:D3"/>
  </mergeCells>
  <conditionalFormatting sqref="C15">
    <cfRule type="expression" dxfId="222" priority="1">
      <formula>$C$15&lt;&gt;$H$8</formula>
    </cfRule>
  </conditionalFormatting>
  <dataValidations count="1">
    <dataValidation type="list" allowBlank="1" showInputMessage="1" showErrorMessage="1" errorTitle="Wrong value!" error="Only integer values between 0 and 5 allowed." prompt="Izaberite " sqref="C15" xr:uid="{00000000-0002-0000-1100-000000000000}">
      <formula1>$H$3:$H$8</formula1>
    </dataValidation>
  </dataValidations>
  <pageMargins left="0.7" right="0.7" top="0.78740157499999996" bottom="0.78740157499999996"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Tabelle18"/>
  <dimension ref="A1:J19"/>
  <sheetViews>
    <sheetView showGridLines="0" zoomScaleNormal="100" workbookViewId="0">
      <selection activeCell="D32" sqref="D32"/>
    </sheetView>
  </sheetViews>
  <sheetFormatPr defaultColWidth="11" defaultRowHeight="15.75" outlineLevelCol="1" x14ac:dyDescent="0.25"/>
  <cols>
    <col min="1" max="2" width="3.875" style="80" customWidth="1"/>
    <col min="3" max="3" width="9.375" style="80" customWidth="1"/>
    <col min="4" max="4" width="74.625" style="80" customWidth="1"/>
    <col min="5" max="5" width="3.875" style="80" customWidth="1"/>
    <col min="6" max="7" width="10.875" style="80"/>
    <col min="8" max="8" width="0" style="80" hidden="1" customWidth="1" outlineLevel="1"/>
    <col min="9" max="9" width="10.875" style="80" collapsed="1"/>
    <col min="10" max="10" width="10.875" style="80"/>
  </cols>
  <sheetData>
    <row r="1" spans="1:8" ht="16.5" thickBot="1" x14ac:dyDescent="0.3">
      <c r="A1" s="1"/>
      <c r="B1" s="1"/>
      <c r="C1" s="24"/>
      <c r="D1" s="1"/>
      <c r="E1" s="1"/>
    </row>
    <row r="2" spans="1:8" ht="17.100000000000001" customHeight="1" x14ac:dyDescent="0.25">
      <c r="A2" s="1"/>
      <c r="B2" s="6"/>
      <c r="C2" s="10"/>
      <c r="D2" s="11"/>
      <c r="E2" s="20"/>
      <c r="H2" s="80" t="s">
        <v>511</v>
      </c>
    </row>
    <row r="3" spans="1:8" ht="17.100000000000001" customHeight="1" x14ac:dyDescent="0.25">
      <c r="A3" s="1"/>
      <c r="B3" s="7"/>
      <c r="C3" s="796" t="s">
        <v>205</v>
      </c>
      <c r="D3" s="796"/>
      <c r="E3" s="30"/>
      <c r="H3" s="80">
        <v>1</v>
      </c>
    </row>
    <row r="4" spans="1:8" ht="17.100000000000001" customHeight="1" thickBot="1" x14ac:dyDescent="0.3">
      <c r="A4" s="1"/>
      <c r="B4" s="31"/>
      <c r="C4" s="32"/>
      <c r="D4" s="32"/>
      <c r="E4" s="23"/>
      <c r="H4" s="80">
        <v>2</v>
      </c>
    </row>
    <row r="5" spans="1:8" ht="17.100000000000001" customHeight="1" thickBot="1" x14ac:dyDescent="0.3">
      <c r="A5" s="1"/>
      <c r="B5" s="1"/>
      <c r="C5" s="26"/>
      <c r="D5" s="26"/>
      <c r="E5" s="1"/>
      <c r="H5" s="80">
        <v>3</v>
      </c>
    </row>
    <row r="6" spans="1:8" ht="17.100000000000001" customHeight="1" thickBot="1" x14ac:dyDescent="0.3">
      <c r="A6" s="1"/>
      <c r="B6" s="6"/>
      <c r="C6" s="10"/>
      <c r="D6" s="11"/>
      <c r="E6" s="20"/>
      <c r="H6" s="80">
        <v>4</v>
      </c>
    </row>
    <row r="7" spans="1:8" ht="17.100000000000001" customHeight="1" thickBot="1" x14ac:dyDescent="0.3">
      <c r="A7" s="2"/>
      <c r="B7" s="8"/>
      <c r="C7" s="106" t="s">
        <v>493</v>
      </c>
      <c r="D7" s="108" t="s">
        <v>148</v>
      </c>
      <c r="E7" s="22"/>
      <c r="H7" s="80">
        <v>5</v>
      </c>
    </row>
    <row r="8" spans="1:8" ht="33.950000000000003" customHeight="1" thickBot="1" x14ac:dyDescent="0.3">
      <c r="A8" s="1"/>
      <c r="B8" s="7"/>
      <c r="C8" s="110">
        <v>0</v>
      </c>
      <c r="D8" s="111" t="s">
        <v>199</v>
      </c>
      <c r="E8" s="21"/>
      <c r="H8" s="80" t="s">
        <v>82</v>
      </c>
    </row>
    <row r="9" spans="1:8" ht="33.950000000000003" customHeight="1" thickBot="1" x14ac:dyDescent="0.3">
      <c r="A9" s="1"/>
      <c r="B9" s="7"/>
      <c r="C9" s="110">
        <v>1</v>
      </c>
      <c r="D9" s="111" t="s">
        <v>206</v>
      </c>
      <c r="E9" s="21"/>
    </row>
    <row r="10" spans="1:8" ht="33.950000000000003" customHeight="1" thickBot="1" x14ac:dyDescent="0.3">
      <c r="A10" s="1"/>
      <c r="B10" s="7"/>
      <c r="C10" s="110">
        <v>2</v>
      </c>
      <c r="D10" s="111" t="s">
        <v>207</v>
      </c>
      <c r="E10" s="21"/>
    </row>
    <row r="11" spans="1:8" ht="33.950000000000003" customHeight="1" thickBot="1" x14ac:dyDescent="0.3">
      <c r="A11" s="1"/>
      <c r="B11" s="7"/>
      <c r="C11" s="110">
        <v>3</v>
      </c>
      <c r="D11" s="111" t="s">
        <v>208</v>
      </c>
      <c r="E11" s="21"/>
    </row>
    <row r="12" spans="1:8" ht="33.950000000000003" customHeight="1" thickBot="1" x14ac:dyDescent="0.3">
      <c r="A12" s="1"/>
      <c r="B12" s="7"/>
      <c r="C12" s="110">
        <v>4</v>
      </c>
      <c r="D12" s="111" t="s">
        <v>209</v>
      </c>
      <c r="E12" s="21"/>
    </row>
    <row r="13" spans="1:8" ht="33.950000000000003" customHeight="1" thickBot="1" x14ac:dyDescent="0.3">
      <c r="A13" s="1"/>
      <c r="B13" s="7"/>
      <c r="C13" s="109">
        <v>5</v>
      </c>
      <c r="D13" s="107" t="s">
        <v>210</v>
      </c>
      <c r="E13" s="21"/>
    </row>
    <row r="14" spans="1:8" ht="17.100000000000001" customHeight="1" thickBot="1" x14ac:dyDescent="0.3">
      <c r="A14" s="1"/>
      <c r="B14" s="7"/>
      <c r="C14" s="37"/>
      <c r="D14" s="37"/>
      <c r="E14" s="21"/>
    </row>
    <row r="15" spans="1:8" ht="33.950000000000003" customHeight="1" thickBot="1" x14ac:dyDescent="0.3">
      <c r="A15" s="1"/>
      <c r="B15" s="7"/>
      <c r="C15" s="694" t="s">
        <v>82</v>
      </c>
      <c r="D15" s="112" t="s">
        <v>494</v>
      </c>
      <c r="E15" s="21"/>
    </row>
    <row r="16" spans="1:8" ht="16.5" thickBot="1" x14ac:dyDescent="0.3">
      <c r="A16" s="1"/>
      <c r="B16" s="31"/>
      <c r="C16" s="41"/>
      <c r="D16" s="19"/>
      <c r="E16" s="23"/>
    </row>
    <row r="17" spans="1:5" ht="18" x14ac:dyDescent="0.25">
      <c r="A17" s="1"/>
      <c r="B17" s="1"/>
      <c r="C17" s="26"/>
      <c r="D17" s="26"/>
      <c r="E17" s="1"/>
    </row>
    <row r="19" spans="1:5" ht="23.25" x14ac:dyDescent="0.35">
      <c r="B19" s="84"/>
    </row>
  </sheetData>
  <sheetProtection algorithmName="SHA-512" hashValue="3KUWPuP+FaQKkfWilsBCAUUgNo651boOFBUwMZA48YU4RCWmzIa3JqigwSIaDNeplgrC20in5vFupJAr186tkA==" saltValue="6YiGFF7PFOSzmpqhdfqPJg==" spinCount="100000" sheet="1" objects="1" scenarios="1"/>
  <mergeCells count="1">
    <mergeCell ref="C3:D3"/>
  </mergeCells>
  <conditionalFormatting sqref="C15">
    <cfRule type="expression" dxfId="221" priority="1">
      <formula>$C$15&lt;&gt;$H$8</formula>
    </cfRule>
  </conditionalFormatting>
  <dataValidations count="1">
    <dataValidation type="list" allowBlank="1" showInputMessage="1" showErrorMessage="1" errorTitle="Wrong value!" error="Only integer values between 0 and 5 allowed." prompt="Izaberite " sqref="C15" xr:uid="{00000000-0002-0000-1200-000000000000}">
      <formula1>$H$3:$H$8</formula1>
    </dataValidation>
  </dataValidations>
  <pageMargins left="0.7" right="0.7" top="0.78740157499999996" bottom="0.78740157499999996"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Tabelle19"/>
  <dimension ref="A1:J19"/>
  <sheetViews>
    <sheetView showGridLines="0" zoomScaleNormal="100" workbookViewId="0">
      <selection activeCell="C15" sqref="C15"/>
    </sheetView>
  </sheetViews>
  <sheetFormatPr defaultColWidth="11" defaultRowHeight="15.75" outlineLevelCol="1" x14ac:dyDescent="0.25"/>
  <cols>
    <col min="1" max="2" width="3.875" style="80" customWidth="1"/>
    <col min="3" max="3" width="9.375" style="80" customWidth="1"/>
    <col min="4" max="4" width="74.625" style="80" customWidth="1"/>
    <col min="5" max="5" width="3.875" style="80" customWidth="1"/>
    <col min="6" max="7" width="10.875" style="80"/>
    <col min="8" max="8" width="11" style="80" hidden="1" customWidth="1" outlineLevel="1"/>
    <col min="9" max="9" width="10.875" style="80" collapsed="1"/>
    <col min="10" max="10" width="10.875" style="80"/>
  </cols>
  <sheetData>
    <row r="1" spans="1:8" ht="16.5" thickBot="1" x14ac:dyDescent="0.3">
      <c r="A1" s="1"/>
      <c r="B1" s="1"/>
      <c r="C1" s="24"/>
      <c r="D1" s="1"/>
      <c r="E1" s="1"/>
    </row>
    <row r="2" spans="1:8" ht="17.100000000000001" customHeight="1" x14ac:dyDescent="0.25">
      <c r="A2" s="1"/>
      <c r="B2" s="6"/>
      <c r="C2" s="10"/>
      <c r="D2" s="11"/>
      <c r="E2" s="20"/>
      <c r="H2" s="80" t="s">
        <v>511</v>
      </c>
    </row>
    <row r="3" spans="1:8" ht="17.100000000000001" customHeight="1" x14ac:dyDescent="0.25">
      <c r="A3" s="1"/>
      <c r="B3" s="7"/>
      <c r="C3" s="796" t="s">
        <v>211</v>
      </c>
      <c r="D3" s="796"/>
      <c r="E3" s="30"/>
      <c r="H3" s="80">
        <v>1</v>
      </c>
    </row>
    <row r="4" spans="1:8" ht="17.100000000000001" customHeight="1" thickBot="1" x14ac:dyDescent="0.3">
      <c r="A4" s="1"/>
      <c r="B4" s="31"/>
      <c r="C4" s="32"/>
      <c r="D4" s="32"/>
      <c r="E4" s="23"/>
      <c r="H4" s="80">
        <v>2</v>
      </c>
    </row>
    <row r="5" spans="1:8" ht="17.100000000000001" customHeight="1" thickBot="1" x14ac:dyDescent="0.3">
      <c r="A5" s="1"/>
      <c r="B5" s="1"/>
      <c r="C5" s="26"/>
      <c r="D5" s="26"/>
      <c r="E5" s="1"/>
      <c r="H5" s="80">
        <v>3</v>
      </c>
    </row>
    <row r="6" spans="1:8" ht="17.100000000000001" customHeight="1" thickBot="1" x14ac:dyDescent="0.3">
      <c r="A6" s="1"/>
      <c r="B6" s="6"/>
      <c r="C6" s="10"/>
      <c r="D6" s="11"/>
      <c r="E6" s="20"/>
      <c r="H6" s="80">
        <v>4</v>
      </c>
    </row>
    <row r="7" spans="1:8" ht="17.100000000000001" customHeight="1" thickBot="1" x14ac:dyDescent="0.3">
      <c r="A7" s="2"/>
      <c r="B7" s="8"/>
      <c r="C7" s="106" t="s">
        <v>493</v>
      </c>
      <c r="D7" s="108" t="s">
        <v>148</v>
      </c>
      <c r="E7" s="22"/>
      <c r="H7" s="80">
        <v>5</v>
      </c>
    </row>
    <row r="8" spans="1:8" ht="33.950000000000003" customHeight="1" thickBot="1" x14ac:dyDescent="0.3">
      <c r="A8" s="1"/>
      <c r="B8" s="7"/>
      <c r="C8" s="110">
        <v>0</v>
      </c>
      <c r="D8" s="111" t="s">
        <v>212</v>
      </c>
      <c r="E8" s="21"/>
      <c r="H8" s="80" t="s">
        <v>82</v>
      </c>
    </row>
    <row r="9" spans="1:8" ht="33.950000000000003" customHeight="1" thickBot="1" x14ac:dyDescent="0.3">
      <c r="A9" s="1"/>
      <c r="B9" s="7"/>
      <c r="C9" s="110">
        <v>1</v>
      </c>
      <c r="D9" s="111" t="s">
        <v>213</v>
      </c>
      <c r="E9" s="21"/>
    </row>
    <row r="10" spans="1:8" ht="33.950000000000003" customHeight="1" thickBot="1" x14ac:dyDescent="0.3">
      <c r="A10" s="1"/>
      <c r="B10" s="7"/>
      <c r="C10" s="110">
        <v>2</v>
      </c>
      <c r="D10" s="111" t="s">
        <v>214</v>
      </c>
      <c r="E10" s="21"/>
    </row>
    <row r="11" spans="1:8" ht="33.950000000000003" customHeight="1" thickBot="1" x14ac:dyDescent="0.3">
      <c r="A11" s="1"/>
      <c r="B11" s="7"/>
      <c r="C11" s="110">
        <v>3</v>
      </c>
      <c r="D11" s="111" t="s">
        <v>215</v>
      </c>
      <c r="E11" s="21"/>
    </row>
    <row r="12" spans="1:8" ht="33.950000000000003" customHeight="1" thickBot="1" x14ac:dyDescent="0.3">
      <c r="A12" s="1"/>
      <c r="B12" s="7"/>
      <c r="C12" s="110">
        <v>4</v>
      </c>
      <c r="D12" s="111" t="s">
        <v>216</v>
      </c>
      <c r="E12" s="21"/>
    </row>
    <row r="13" spans="1:8" ht="33.950000000000003" customHeight="1" thickBot="1" x14ac:dyDescent="0.3">
      <c r="A13" s="1"/>
      <c r="B13" s="7"/>
      <c r="C13" s="109">
        <v>5</v>
      </c>
      <c r="D13" s="107" t="s">
        <v>217</v>
      </c>
      <c r="E13" s="21"/>
    </row>
    <row r="14" spans="1:8" ht="17.100000000000001" customHeight="1" thickBot="1" x14ac:dyDescent="0.3">
      <c r="A14" s="1"/>
      <c r="B14" s="7"/>
      <c r="C14" s="37"/>
      <c r="D14" s="37"/>
      <c r="E14" s="21"/>
    </row>
    <row r="15" spans="1:8" ht="33.950000000000003" customHeight="1" thickBot="1" x14ac:dyDescent="0.3">
      <c r="A15" s="1"/>
      <c r="B15" s="7"/>
      <c r="C15" s="694" t="s">
        <v>82</v>
      </c>
      <c r="D15" s="112" t="s">
        <v>494</v>
      </c>
      <c r="E15" s="21"/>
    </row>
    <row r="16" spans="1:8" ht="16.5" thickBot="1" x14ac:dyDescent="0.3">
      <c r="A16" s="1"/>
      <c r="B16" s="31"/>
      <c r="C16" s="41"/>
      <c r="D16" s="19"/>
      <c r="E16" s="23"/>
    </row>
    <row r="17" spans="1:5" ht="18" x14ac:dyDescent="0.25">
      <c r="A17" s="1"/>
      <c r="B17" s="1"/>
      <c r="C17" s="26"/>
      <c r="D17" s="26"/>
      <c r="E17" s="1"/>
    </row>
    <row r="19" spans="1:5" ht="23.25" x14ac:dyDescent="0.35">
      <c r="B19" s="84"/>
    </row>
  </sheetData>
  <sheetProtection algorithmName="SHA-512" hashValue="e28V0Ck2inT1uksdLaYbufmK4+FUju/xqACwdEDzls5tTWQHzWe8hE3eanbFXIqdFyS7usYV+YBKuR/Ni0lEbw==" saltValue="pshLD4Y2v8006nlAEAFklQ==" spinCount="100000" sheet="1" objects="1" scenarios="1"/>
  <mergeCells count="1">
    <mergeCell ref="C3:D3"/>
  </mergeCells>
  <conditionalFormatting sqref="C15">
    <cfRule type="expression" dxfId="220" priority="1">
      <formula>$C$15&lt;&gt;$H$8</formula>
    </cfRule>
  </conditionalFormatting>
  <dataValidations count="1">
    <dataValidation type="list" allowBlank="1" showInputMessage="1" showErrorMessage="1" errorTitle="Wrong value!" error="Only integer values between 0 and 5 allowed." prompt="Izaberite " sqref="C15" xr:uid="{00000000-0002-0000-1300-000000000000}">
      <formula1>$H$3:$H$8</formula1>
    </dataValidation>
  </dataValidations>
  <pageMargins left="0.7" right="0.7" top="0.78740157499999996" bottom="0.78740157499999996"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7">
    <tabColor theme="0"/>
  </sheetPr>
  <dimension ref="A1:AE54"/>
  <sheetViews>
    <sheetView showGridLines="0" topLeftCell="A10" zoomScale="90" zoomScaleNormal="90" workbookViewId="0">
      <selection activeCell="AJ17" sqref="AJ17"/>
    </sheetView>
  </sheetViews>
  <sheetFormatPr defaultColWidth="7.875" defaultRowHeight="12.75" outlineLevelCol="1" x14ac:dyDescent="0.2"/>
  <cols>
    <col min="1" max="2" width="4" style="461" customWidth="1"/>
    <col min="3" max="3" width="25.5" style="461" customWidth="1"/>
    <col min="4" max="4" width="15.875" style="461" customWidth="1"/>
    <col min="5" max="5" width="15.125" style="461" customWidth="1"/>
    <col min="6" max="6" width="18.5" style="461" customWidth="1"/>
    <col min="7" max="7" width="15.875" style="461" customWidth="1"/>
    <col min="8" max="8" width="7.875" style="461"/>
    <col min="9" max="9" width="18.875" style="461" customWidth="1"/>
    <col min="10" max="18" width="9.125" style="461" customWidth="1"/>
    <col min="19" max="21" width="7.875" style="461"/>
    <col min="22" max="30" width="7.875" style="461" hidden="1" customWidth="1" outlineLevel="1"/>
    <col min="31" max="31" width="7.875" style="461" collapsed="1"/>
    <col min="32" max="184" width="7.875" style="461"/>
    <col min="185" max="185" width="4" style="461" customWidth="1"/>
    <col min="186" max="186" width="2" style="461" customWidth="1"/>
    <col min="187" max="187" width="25.5" style="461" customWidth="1"/>
    <col min="188" max="188" width="15.875" style="461" customWidth="1"/>
    <col min="189" max="189" width="15.125" style="461" customWidth="1"/>
    <col min="190" max="190" width="18.5" style="461" customWidth="1"/>
    <col min="191" max="191" width="15.875" style="461" customWidth="1"/>
    <col min="192" max="192" width="2" style="461" customWidth="1"/>
    <col min="193" max="198" width="7.875" style="461"/>
    <col min="199" max="199" width="8.375" style="461" customWidth="1"/>
    <col min="200" max="16384" width="7.875" style="461"/>
  </cols>
  <sheetData>
    <row r="1" spans="2:29" s="444" customFormat="1" ht="13.5" thickBot="1" x14ac:dyDescent="0.3">
      <c r="D1" s="445"/>
      <c r="E1" s="445"/>
      <c r="G1" s="446"/>
    </row>
    <row r="2" spans="2:29" s="444" customFormat="1" ht="23.1" customHeight="1" x14ac:dyDescent="0.25">
      <c r="B2" s="463"/>
      <c r="C2" s="464"/>
      <c r="D2" s="465"/>
      <c r="E2" s="465"/>
      <c r="F2" s="466"/>
      <c r="G2" s="446"/>
      <c r="I2" s="768" t="str">
        <f>IF(SUM(V8:AC12)=40,"Procjena završena", "Procjena nije završena!")</f>
        <v>Procjena nije završena!</v>
      </c>
      <c r="J2" s="768"/>
      <c r="K2" s="768"/>
      <c r="L2" s="768"/>
      <c r="M2" s="768"/>
      <c r="N2" s="768"/>
      <c r="O2" s="768"/>
      <c r="P2" s="768"/>
      <c r="Q2" s="768"/>
      <c r="R2" s="768"/>
      <c r="V2" s="482"/>
    </row>
    <row r="3" spans="2:29" s="444" customFormat="1" ht="17.100000000000001" customHeight="1" x14ac:dyDescent="0.25">
      <c r="B3" s="467"/>
      <c r="C3" s="766" t="s">
        <v>41</v>
      </c>
      <c r="D3" s="767"/>
      <c r="E3" s="468">
        <f>'Unos podataka'!E5</f>
        <v>0</v>
      </c>
      <c r="F3" s="469"/>
      <c r="G3" s="446"/>
      <c r="V3" s="518" t="s">
        <v>82</v>
      </c>
    </row>
    <row r="4" spans="2:29" s="444" customFormat="1" ht="24" thickBot="1" x14ac:dyDescent="0.3">
      <c r="B4" s="470"/>
      <c r="C4" s="471"/>
      <c r="D4" s="472"/>
      <c r="E4" s="472"/>
      <c r="F4" s="473"/>
      <c r="G4" s="446"/>
      <c r="I4" s="768" t="str">
        <f>IF(MAX('Eliminatorni kriteriji'!H9:H17)=3,"Ocjena eliminatornih kriterija nije završena!",IF(MAX('Eliminatorni kriteriji'!H9:H17)=2,"Pažnja: Postoji eliminatorni kriterij!","Ocjenjeni kriteriji nisu eliminatorni"))</f>
        <v>Ocjena eliminatornih kriterija nije završena!</v>
      </c>
      <c r="J4" s="768"/>
      <c r="K4" s="768"/>
      <c r="L4" s="768"/>
      <c r="M4" s="768"/>
      <c r="N4" s="768"/>
      <c r="O4" s="768"/>
      <c r="P4" s="768"/>
      <c r="Q4" s="768"/>
      <c r="R4" s="768"/>
    </row>
    <row r="5" spans="2:29" s="444" customFormat="1" ht="18.75" thickBot="1" x14ac:dyDescent="0.3">
      <c r="D5" s="447"/>
      <c r="E5" s="447"/>
      <c r="F5" s="447"/>
      <c r="G5" s="446"/>
      <c r="H5" s="447"/>
    </row>
    <row r="6" spans="2:29" s="451" customFormat="1" ht="17.100000000000001" customHeight="1" thickBot="1" x14ac:dyDescent="0.3">
      <c r="B6" s="448"/>
      <c r="C6" s="449"/>
      <c r="D6" s="449"/>
      <c r="E6" s="449"/>
      <c r="F6" s="450"/>
      <c r="H6" s="549"/>
      <c r="I6" s="559" t="s">
        <v>47</v>
      </c>
      <c r="J6" s="550"/>
      <c r="K6" s="550"/>
      <c r="L6" s="550"/>
      <c r="M6" s="550"/>
      <c r="N6" s="550"/>
      <c r="O6" s="550"/>
      <c r="P6" s="550"/>
      <c r="Q6" s="550"/>
      <c r="R6" s="550"/>
      <c r="S6" s="551"/>
    </row>
    <row r="7" spans="2:29" s="451" customFormat="1" ht="65.25" customHeight="1" thickBot="1" x14ac:dyDescent="0.25">
      <c r="B7" s="452"/>
      <c r="C7" s="475" t="s">
        <v>42</v>
      </c>
      <c r="D7" s="774" t="s">
        <v>150</v>
      </c>
      <c r="E7" s="775"/>
      <c r="F7" s="453"/>
      <c r="H7" s="552"/>
      <c r="I7" s="544"/>
      <c r="J7" s="545" t="s">
        <v>48</v>
      </c>
      <c r="K7" s="547" t="s">
        <v>49</v>
      </c>
      <c r="L7" s="547" t="s">
        <v>50</v>
      </c>
      <c r="M7" s="547" t="s">
        <v>51</v>
      </c>
      <c r="N7" s="547" t="s">
        <v>52</v>
      </c>
      <c r="O7" s="546" t="s">
        <v>53</v>
      </c>
      <c r="P7" s="547" t="s">
        <v>54</v>
      </c>
      <c r="Q7" s="547" t="s">
        <v>55</v>
      </c>
      <c r="R7" s="550"/>
      <c r="S7" s="553"/>
      <c r="V7" s="627" t="s">
        <v>62</v>
      </c>
    </row>
    <row r="8" spans="2:29" s="451" customFormat="1" ht="33.950000000000003" customHeight="1" thickBot="1" x14ac:dyDescent="0.25">
      <c r="B8" s="452"/>
      <c r="C8" s="454" t="s">
        <v>43</v>
      </c>
      <c r="D8" s="776" t="str">
        <f>'E - Ukupna ocjena'!F12</f>
        <v/>
      </c>
      <c r="E8" s="777"/>
      <c r="F8" s="628">
        <f>IF(D8&lt;&gt;"",1,0)</f>
        <v>0</v>
      </c>
      <c r="H8" s="552"/>
      <c r="I8" s="557" t="s">
        <v>43</v>
      </c>
      <c r="J8" s="522" t="str">
        <f>'E1 - Specifična investicija'!I9</f>
        <v/>
      </c>
      <c r="K8" s="522" t="str">
        <f>'E2 - Doprinos zaštiti klime'!I9</f>
        <v/>
      </c>
      <c r="L8" s="522" t="str">
        <f>'E3 - Priključak na d. mrežu'!I9</f>
        <v/>
      </c>
      <c r="M8" s="522" t="str">
        <f>'E4 - Dodatni efekti'!N14</f>
        <v/>
      </c>
      <c r="N8" s="542"/>
      <c r="O8" s="542"/>
      <c r="P8" s="542"/>
      <c r="Q8" s="542"/>
      <c r="R8" s="550"/>
      <c r="S8" s="553"/>
      <c r="V8" s="634">
        <f t="shared" ref="V8:Y12" si="0">IF(J8="",0,1)</f>
        <v>0</v>
      </c>
      <c r="W8" s="634">
        <f t="shared" si="0"/>
        <v>0</v>
      </c>
      <c r="X8" s="634">
        <f t="shared" si="0"/>
        <v>0</v>
      </c>
      <c r="Y8" s="634">
        <f t="shared" si="0"/>
        <v>0</v>
      </c>
      <c r="Z8" s="634">
        <v>1</v>
      </c>
      <c r="AA8" s="634">
        <v>1</v>
      </c>
      <c r="AB8" s="634">
        <v>1</v>
      </c>
      <c r="AC8" s="634">
        <v>1</v>
      </c>
    </row>
    <row r="9" spans="2:29" s="451" customFormat="1" ht="33.950000000000003" customHeight="1" thickBot="1" x14ac:dyDescent="0.25">
      <c r="B9" s="452"/>
      <c r="C9" s="454" t="s">
        <v>44</v>
      </c>
      <c r="D9" s="776" t="str">
        <f>'UV - Ukupna ocjena'!F14</f>
        <v/>
      </c>
      <c r="E9" s="777"/>
      <c r="F9" s="628">
        <f t="shared" ref="F9:F12" si="1">IF(D9&lt;&gt;"",1,0)</f>
        <v>0</v>
      </c>
      <c r="H9" s="552"/>
      <c r="I9" s="557" t="s">
        <v>44</v>
      </c>
      <c r="J9" s="522" t="str">
        <f>'UV1 -Iskorištenost hidroe. pot.'!C15</f>
        <v>Izaberite</v>
      </c>
      <c r="K9" s="522" t="str">
        <f>'UV2 -Karakteristike HE'!G41</f>
        <v/>
      </c>
      <c r="L9" s="522" t="str">
        <f>'UV3 - Efikasnost iskoriš. vode'!I9</f>
        <v/>
      </c>
      <c r="M9" s="522" t="str">
        <f>'UV4 - Promjena pot. rizika'!C15</f>
        <v>Izaberite</v>
      </c>
      <c r="N9" s="522" t="str">
        <f>'UV5 - Utjecaj na kv. vode'!C15</f>
        <v>Izaberite</v>
      </c>
      <c r="O9" s="524" t="str">
        <f>'UV6 - Utjecaj na podzemen vode'!C15</f>
        <v>Izaberite</v>
      </c>
      <c r="P9" s="542"/>
      <c r="Q9" s="542"/>
      <c r="R9" s="550"/>
      <c r="S9" s="553"/>
      <c r="V9" s="634">
        <f t="shared" si="0"/>
        <v>1</v>
      </c>
      <c r="W9" s="634">
        <f t="shared" si="0"/>
        <v>0</v>
      </c>
      <c r="X9" s="634">
        <f t="shared" si="0"/>
        <v>0</v>
      </c>
      <c r="Y9" s="634">
        <f t="shared" si="0"/>
        <v>1</v>
      </c>
      <c r="Z9" s="634">
        <f t="shared" ref="Z9:AA12" si="2">IF(N9="",0,1)</f>
        <v>1</v>
      </c>
      <c r="AA9" s="634">
        <f t="shared" si="2"/>
        <v>1</v>
      </c>
      <c r="AB9" s="634">
        <v>1</v>
      </c>
      <c r="AC9" s="634">
        <v>1</v>
      </c>
    </row>
    <row r="10" spans="2:29" s="451" customFormat="1" ht="33.950000000000003" customHeight="1" thickBot="1" x14ac:dyDescent="0.25">
      <c r="B10" s="452"/>
      <c r="C10" s="454" t="s">
        <v>63</v>
      </c>
      <c r="D10" s="776" t="str">
        <f>'PP - Ukupna ocjena'!E24</f>
        <v/>
      </c>
      <c r="E10" s="777"/>
      <c r="F10" s="628">
        <f t="shared" si="1"/>
        <v>0</v>
      </c>
      <c r="H10" s="552"/>
      <c r="I10" s="548" t="s">
        <v>56</v>
      </c>
      <c r="J10" s="526" t="str">
        <f>'PP - Ukupna ocjena'!D8</f>
        <v>Izaberite</v>
      </c>
      <c r="K10" s="526" t="str">
        <f>'PP - Ukupna ocjena'!D9</f>
        <v>Izaberite</v>
      </c>
      <c r="L10" s="526" t="str">
        <f>'PP - Ukupna ocjena'!D10</f>
        <v>Izaberite</v>
      </c>
      <c r="M10" s="526" t="str">
        <f>'PP - Ukupna ocjena'!D11</f>
        <v>Izaberite</v>
      </c>
      <c r="N10" s="526" t="str">
        <f>'PP - Ukupna ocjena'!D12</f>
        <v>Izaberite</v>
      </c>
      <c r="O10" s="526" t="str">
        <f>'PP - Ukupna ocjena'!D13</f>
        <v>Izaberite</v>
      </c>
      <c r="P10" s="526" t="str">
        <f>'PP - Ukupna ocjena'!D14</f>
        <v>Izaberite</v>
      </c>
      <c r="Q10" s="526" t="str">
        <f>'PP - Ukupna ocjena'!D15</f>
        <v>Izaberite</v>
      </c>
      <c r="R10" s="550"/>
      <c r="S10" s="553"/>
      <c r="V10" s="634">
        <f t="shared" si="0"/>
        <v>1</v>
      </c>
      <c r="W10" s="634">
        <f t="shared" si="0"/>
        <v>1</v>
      </c>
      <c r="X10" s="634">
        <f t="shared" si="0"/>
        <v>1</v>
      </c>
      <c r="Y10" s="634">
        <f t="shared" si="0"/>
        <v>1</v>
      </c>
      <c r="Z10" s="634">
        <f t="shared" si="2"/>
        <v>1</v>
      </c>
      <c r="AA10" s="634">
        <f t="shared" si="2"/>
        <v>1</v>
      </c>
      <c r="AB10" s="634">
        <f>IF(P10="",0,1)</f>
        <v>1</v>
      </c>
      <c r="AC10" s="634">
        <f>IF(Q10="",0,1)</f>
        <v>1</v>
      </c>
    </row>
    <row r="11" spans="2:29" s="451" customFormat="1" ht="33.950000000000003" customHeight="1" thickBot="1" x14ac:dyDescent="0.25">
      <c r="B11" s="452"/>
      <c r="C11" s="454" t="s">
        <v>45</v>
      </c>
      <c r="D11" s="776" t="str">
        <f>'EV - Ukupna ocjena'!G16</f>
        <v/>
      </c>
      <c r="E11" s="777"/>
      <c r="F11" s="628">
        <f t="shared" si="1"/>
        <v>0</v>
      </c>
      <c r="H11" s="552"/>
      <c r="I11" s="558" t="s">
        <v>45</v>
      </c>
      <c r="J11" s="524">
        <f>IF('EV1 - Hidromorfologija'!H16+'EV1 - Hidromorfologija'!H32=2,1,0)</f>
        <v>0</v>
      </c>
      <c r="K11" s="524">
        <f>'EV2 - Ekološki status'!H16</f>
        <v>0</v>
      </c>
      <c r="L11" s="524">
        <f>'EV3 - Površina sliva'!H16</f>
        <v>0</v>
      </c>
      <c r="M11" s="524">
        <f>'EV4 - Posebni tipovi vodotoka'!K17</f>
        <v>0</v>
      </c>
      <c r="N11" s="524">
        <f>'EV5 -Postojanje mrjestilišta'!H16</f>
        <v>0</v>
      </c>
      <c r="O11" s="524">
        <f>'EV6- Putevi slobodnog toka'!G36</f>
        <v>0</v>
      </c>
      <c r="P11" s="524">
        <f>'EV7 - Toplotno zagađenje'!H16</f>
        <v>0</v>
      </c>
      <c r="Q11" s="524">
        <f>'EV8 - Akumulacija'!I16</f>
        <v>0</v>
      </c>
      <c r="R11" s="550"/>
      <c r="S11" s="553"/>
      <c r="V11" s="634">
        <f t="shared" si="0"/>
        <v>1</v>
      </c>
      <c r="W11" s="634">
        <f t="shared" si="0"/>
        <v>1</v>
      </c>
      <c r="X11" s="634">
        <f t="shared" si="0"/>
        <v>1</v>
      </c>
      <c r="Y11" s="634">
        <f t="shared" si="0"/>
        <v>1</v>
      </c>
      <c r="Z11" s="634">
        <f t="shared" si="2"/>
        <v>1</v>
      </c>
      <c r="AA11" s="634">
        <f t="shared" si="2"/>
        <v>1</v>
      </c>
      <c r="AB11" s="634">
        <f>IF(P11="",0,1)</f>
        <v>1</v>
      </c>
      <c r="AC11" s="634">
        <f>IF(Q11="",0,1)</f>
        <v>1</v>
      </c>
    </row>
    <row r="12" spans="2:29" s="451" customFormat="1" ht="33.950000000000003" customHeight="1" thickBot="1" x14ac:dyDescent="0.25">
      <c r="B12" s="452"/>
      <c r="C12" s="474" t="s">
        <v>46</v>
      </c>
      <c r="D12" s="776" t="str">
        <f>'ZP - Ukupna ocjena'!G18</f>
        <v/>
      </c>
      <c r="E12" s="777"/>
      <c r="F12" s="628">
        <f t="shared" si="1"/>
        <v>0</v>
      </c>
      <c r="H12" s="552"/>
      <c r="I12" s="557" t="s">
        <v>46</v>
      </c>
      <c r="J12" s="522">
        <f>'ZP1 - Zaštita vrsta'!G32</f>
        <v>0</v>
      </c>
      <c r="K12" s="522">
        <f>'ZP2 - Zaštita priridnog staništ'!G32</f>
        <v>0</v>
      </c>
      <c r="L12" s="522">
        <f>'ZP3 - Ekosistem'!G32</f>
        <v>0</v>
      </c>
      <c r="M12" s="522">
        <f>'ZP4 - Pejzaž i rekreacijska vr.'!N44</f>
        <v>0</v>
      </c>
      <c r="N12" s="522">
        <f>'ZP5 - Prirodni značaj vodotoka'!H32</f>
        <v>0</v>
      </c>
      <c r="O12" s="522">
        <f>'ZP6 - Osjetljivi tipovi voda'!H16</f>
        <v>0</v>
      </c>
      <c r="P12" s="522">
        <f>'ZP7 - Osjetljiva i jed. V.T.'!H16</f>
        <v>0</v>
      </c>
      <c r="Q12" s="543"/>
      <c r="R12" s="550"/>
      <c r="S12" s="553"/>
      <c r="V12" s="634">
        <f t="shared" si="0"/>
        <v>1</v>
      </c>
      <c r="W12" s="634">
        <f t="shared" si="0"/>
        <v>1</v>
      </c>
      <c r="X12" s="634">
        <f t="shared" si="0"/>
        <v>1</v>
      </c>
      <c r="Y12" s="634">
        <f t="shared" si="0"/>
        <v>1</v>
      </c>
      <c r="Z12" s="634">
        <f t="shared" si="2"/>
        <v>1</v>
      </c>
      <c r="AA12" s="634">
        <f t="shared" si="2"/>
        <v>1</v>
      </c>
      <c r="AB12" s="634">
        <f>IF(P12="",0,1)</f>
        <v>1</v>
      </c>
      <c r="AC12" s="634">
        <v>1</v>
      </c>
    </row>
    <row r="13" spans="2:29" s="451" customFormat="1" ht="17.100000000000001" customHeight="1" thickBot="1" x14ac:dyDescent="0.3">
      <c r="B13" s="455"/>
      <c r="C13" s="456"/>
      <c r="D13" s="457"/>
      <c r="E13" s="458"/>
      <c r="F13" s="459"/>
      <c r="H13" s="554"/>
      <c r="I13" s="555"/>
      <c r="J13" s="555"/>
      <c r="K13" s="555"/>
      <c r="L13" s="555"/>
      <c r="M13" s="555"/>
      <c r="N13" s="555"/>
      <c r="O13" s="555"/>
      <c r="P13" s="555"/>
      <c r="Q13" s="555"/>
      <c r="R13" s="555"/>
      <c r="S13" s="556"/>
    </row>
    <row r="14" spans="2:29" s="451" customFormat="1" x14ac:dyDescent="0.25">
      <c r="D14" s="460"/>
    </row>
    <row r="15" spans="2:29" ht="18.75" thickBot="1" x14ac:dyDescent="0.3">
      <c r="I15" s="482" t="s">
        <v>85</v>
      </c>
      <c r="J15" s="447"/>
      <c r="K15" s="444"/>
      <c r="L15" s="444"/>
      <c r="M15" s="444"/>
      <c r="N15" s="444"/>
      <c r="O15" s="444"/>
      <c r="P15" s="444"/>
      <c r="Q15" s="444"/>
      <c r="R15" s="444"/>
      <c r="S15" s="444"/>
    </row>
    <row r="16" spans="2:29" ht="33.950000000000003" customHeight="1" thickBot="1" x14ac:dyDescent="0.25">
      <c r="I16" s="772"/>
      <c r="J16" s="653" t="s">
        <v>57</v>
      </c>
      <c r="K16" s="769" t="s">
        <v>484</v>
      </c>
      <c r="L16" s="770"/>
      <c r="M16" s="771"/>
      <c r="N16" s="769" t="s">
        <v>61</v>
      </c>
      <c r="O16" s="770"/>
      <c r="P16" s="770"/>
      <c r="Q16" s="770"/>
      <c r="R16" s="770"/>
      <c r="S16" s="771"/>
      <c r="T16" s="525"/>
      <c r="U16" s="525"/>
    </row>
    <row r="17" spans="9:22" ht="17.100000000000001" customHeight="1" thickBot="1" x14ac:dyDescent="0.25">
      <c r="I17" s="773"/>
      <c r="J17" s="603" t="s">
        <v>80</v>
      </c>
      <c r="K17" s="604" t="s">
        <v>58</v>
      </c>
      <c r="L17" s="605" t="s">
        <v>59</v>
      </c>
      <c r="M17" s="606" t="s">
        <v>60</v>
      </c>
      <c r="N17" s="607">
        <v>1</v>
      </c>
      <c r="O17" s="607">
        <v>2</v>
      </c>
      <c r="P17" s="607">
        <v>3</v>
      </c>
      <c r="Q17" s="607">
        <v>4</v>
      </c>
      <c r="R17" s="607">
        <v>5</v>
      </c>
      <c r="S17" s="608">
        <v>6</v>
      </c>
      <c r="T17" s="523"/>
      <c r="U17" s="523"/>
      <c r="V17" s="523"/>
    </row>
    <row r="18" spans="9:22" ht="15.95" customHeight="1" thickBot="1" x14ac:dyDescent="0.25">
      <c r="I18" s="609" t="s">
        <v>43</v>
      </c>
      <c r="J18" s="610" t="str">
        <f>IF(SUM($F$8:$F$12)=5,D8,"")</f>
        <v/>
      </c>
      <c r="K18" s="611">
        <v>5</v>
      </c>
      <c r="L18" s="612">
        <f>2*1.67</f>
        <v>3.34</v>
      </c>
      <c r="M18" s="613">
        <v>1.67</v>
      </c>
      <c r="N18" s="614">
        <v>1</v>
      </c>
      <c r="O18" s="614">
        <v>2</v>
      </c>
      <c r="P18" s="614">
        <v>3</v>
      </c>
      <c r="Q18" s="614">
        <v>4</v>
      </c>
      <c r="R18" s="614">
        <v>5</v>
      </c>
      <c r="S18" s="615">
        <v>6</v>
      </c>
      <c r="T18" s="599"/>
      <c r="U18" s="523"/>
      <c r="V18" s="523"/>
    </row>
    <row r="19" spans="9:22" ht="17.100000000000001" customHeight="1" thickBot="1" x14ac:dyDescent="0.25">
      <c r="I19" s="616" t="s">
        <v>44</v>
      </c>
      <c r="J19" s="481" t="str">
        <f>IF(SUM($F$8:$F$12)=5,D9,"")</f>
        <v/>
      </c>
      <c r="K19" s="477">
        <v>5</v>
      </c>
      <c r="L19" s="479">
        <f>2*1.67</f>
        <v>3.34</v>
      </c>
      <c r="M19" s="480">
        <v>1.67</v>
      </c>
      <c r="N19" s="560">
        <f t="shared" ref="N19:R22" si="3">N18</f>
        <v>1</v>
      </c>
      <c r="O19" s="560">
        <f t="shared" si="3"/>
        <v>2</v>
      </c>
      <c r="P19" s="560">
        <f t="shared" si="3"/>
        <v>3</v>
      </c>
      <c r="Q19" s="560">
        <f t="shared" si="3"/>
        <v>4</v>
      </c>
      <c r="R19" s="560">
        <f t="shared" si="3"/>
        <v>5</v>
      </c>
      <c r="S19" s="617">
        <v>6</v>
      </c>
      <c r="T19" s="600"/>
      <c r="U19" s="521"/>
      <c r="V19" s="521"/>
    </row>
    <row r="20" spans="9:22" ht="17.100000000000001" customHeight="1" thickBot="1" x14ac:dyDescent="0.25">
      <c r="I20" s="616" t="s">
        <v>56</v>
      </c>
      <c r="J20" s="481" t="str">
        <f>IF(SUM($F$8:$F$12)=5,D10,"")</f>
        <v/>
      </c>
      <c r="K20" s="477">
        <v>5</v>
      </c>
      <c r="L20" s="479">
        <f>2*1.67</f>
        <v>3.34</v>
      </c>
      <c r="M20" s="478">
        <v>1.67</v>
      </c>
      <c r="N20" s="560">
        <f t="shared" si="3"/>
        <v>1</v>
      </c>
      <c r="O20" s="560">
        <f t="shared" si="3"/>
        <v>2</v>
      </c>
      <c r="P20" s="560">
        <f t="shared" si="3"/>
        <v>3</v>
      </c>
      <c r="Q20" s="560">
        <f t="shared" si="3"/>
        <v>4</v>
      </c>
      <c r="R20" s="560">
        <f t="shared" si="3"/>
        <v>5</v>
      </c>
      <c r="S20" s="617">
        <v>6</v>
      </c>
      <c r="T20" s="601"/>
      <c r="U20" s="521"/>
      <c r="V20" s="521"/>
    </row>
    <row r="21" spans="9:22" ht="17.100000000000001" customHeight="1" thickBot="1" x14ac:dyDescent="0.25">
      <c r="I21" s="616" t="s">
        <v>45</v>
      </c>
      <c r="J21" s="481" t="str">
        <f>IF(SUM($F$8:$F$12)=5,D11,"")</f>
        <v/>
      </c>
      <c r="K21" s="477">
        <v>5</v>
      </c>
      <c r="L21" s="479">
        <f>2*1.67</f>
        <v>3.34</v>
      </c>
      <c r="M21" s="480">
        <v>1.67</v>
      </c>
      <c r="N21" s="560">
        <f t="shared" si="3"/>
        <v>1</v>
      </c>
      <c r="O21" s="560">
        <f t="shared" si="3"/>
        <v>2</v>
      </c>
      <c r="P21" s="560">
        <f t="shared" si="3"/>
        <v>3</v>
      </c>
      <c r="Q21" s="560">
        <f t="shared" si="3"/>
        <v>4</v>
      </c>
      <c r="R21" s="560">
        <f t="shared" si="3"/>
        <v>5</v>
      </c>
      <c r="S21" s="617">
        <v>6</v>
      </c>
      <c r="T21" s="602"/>
      <c r="U21" s="521"/>
      <c r="V21" s="521"/>
    </row>
    <row r="22" spans="9:22" ht="13.5" thickBot="1" x14ac:dyDescent="0.25">
      <c r="I22" s="618" t="s">
        <v>46</v>
      </c>
      <c r="J22" s="619" t="str">
        <f>IF(SUM($F$8:$F$12)=5,D12,"")</f>
        <v/>
      </c>
      <c r="K22" s="620">
        <v>5</v>
      </c>
      <c r="L22" s="621">
        <f>2*1.67</f>
        <v>3.34</v>
      </c>
      <c r="M22" s="622">
        <v>1.67</v>
      </c>
      <c r="N22" s="623">
        <f t="shared" si="3"/>
        <v>1</v>
      </c>
      <c r="O22" s="623">
        <f t="shared" si="3"/>
        <v>2</v>
      </c>
      <c r="P22" s="623">
        <f t="shared" si="3"/>
        <v>3</v>
      </c>
      <c r="Q22" s="623">
        <f t="shared" si="3"/>
        <v>4</v>
      </c>
      <c r="R22" s="623">
        <f t="shared" si="3"/>
        <v>5</v>
      </c>
      <c r="S22" s="624">
        <v>6</v>
      </c>
      <c r="T22" s="476"/>
    </row>
    <row r="23" spans="9:22" x14ac:dyDescent="0.2">
      <c r="I23" s="476"/>
      <c r="J23" s="519"/>
      <c r="K23" s="476"/>
      <c r="L23" s="476"/>
      <c r="M23" s="476"/>
      <c r="N23" s="476"/>
      <c r="O23" s="476"/>
      <c r="P23" s="476"/>
      <c r="Q23" s="476"/>
      <c r="R23" s="476"/>
      <c r="S23" s="476"/>
      <c r="T23" s="476"/>
    </row>
    <row r="24" spans="9:22" x14ac:dyDescent="0.2">
      <c r="I24" s="664"/>
      <c r="J24" s="665"/>
      <c r="K24" s="664"/>
      <c r="L24" s="664"/>
      <c r="M24" s="476"/>
      <c r="N24" s="476"/>
      <c r="O24" s="476"/>
      <c r="P24" s="476"/>
      <c r="Q24" s="476"/>
      <c r="R24" s="476"/>
      <c r="S24" s="476"/>
      <c r="T24" s="476"/>
    </row>
    <row r="25" spans="9:22" x14ac:dyDescent="0.2">
      <c r="I25" s="664"/>
      <c r="J25" s="665"/>
      <c r="K25" s="664"/>
      <c r="L25" s="664"/>
      <c r="M25" s="476"/>
      <c r="N25" s="476"/>
      <c r="O25" s="476"/>
      <c r="P25" s="476"/>
      <c r="Q25" s="476"/>
      <c r="R25" s="476"/>
      <c r="S25" s="476"/>
      <c r="T25" s="476"/>
    </row>
    <row r="26" spans="9:22" x14ac:dyDescent="0.2">
      <c r="I26" s="664"/>
      <c r="J26" s="665"/>
      <c r="K26" s="664"/>
      <c r="L26" s="664"/>
      <c r="M26" s="476"/>
      <c r="N26" s="476"/>
      <c r="O26" s="476"/>
      <c r="P26" s="476"/>
      <c r="Q26" s="476"/>
      <c r="R26" s="476"/>
      <c r="S26" s="476"/>
      <c r="T26" s="476"/>
    </row>
    <row r="27" spans="9:22" x14ac:dyDescent="0.2">
      <c r="I27" s="665"/>
      <c r="J27" s="665"/>
      <c r="K27" s="666"/>
      <c r="L27" s="665"/>
      <c r="T27" s="476"/>
    </row>
    <row r="28" spans="9:22" x14ac:dyDescent="0.2">
      <c r="I28" s="665"/>
      <c r="J28" s="665"/>
      <c r="K28" s="665"/>
      <c r="L28" s="665"/>
      <c r="T28" s="476"/>
    </row>
    <row r="29" spans="9:22" x14ac:dyDescent="0.2">
      <c r="I29" s="665"/>
      <c r="J29" s="665"/>
      <c r="K29" s="665"/>
      <c r="L29" s="665"/>
      <c r="T29" s="476"/>
    </row>
    <row r="30" spans="9:22" x14ac:dyDescent="0.2">
      <c r="I30" s="665"/>
      <c r="J30" s="665"/>
      <c r="K30" s="665"/>
      <c r="L30" s="665"/>
      <c r="T30" s="476"/>
    </row>
    <row r="31" spans="9:22" x14ac:dyDescent="0.2">
      <c r="I31" s="665"/>
      <c r="J31" s="665"/>
      <c r="K31" s="665"/>
      <c r="L31" s="665"/>
      <c r="T31" s="476"/>
    </row>
    <row r="32" spans="9:22" x14ac:dyDescent="0.2">
      <c r="I32" s="665"/>
      <c r="J32" s="665"/>
      <c r="K32" s="665"/>
      <c r="L32" s="665"/>
      <c r="T32" s="476"/>
    </row>
    <row r="33" spans="1:20" x14ac:dyDescent="0.2">
      <c r="I33" s="665"/>
      <c r="J33" s="665"/>
      <c r="K33" s="665"/>
      <c r="L33" s="665"/>
      <c r="T33" s="476"/>
    </row>
    <row r="34" spans="1:20" x14ac:dyDescent="0.2">
      <c r="I34" s="665"/>
      <c r="J34" s="665"/>
      <c r="K34" s="665"/>
      <c r="L34" s="665"/>
      <c r="T34" s="476"/>
    </row>
    <row r="35" spans="1:20" x14ac:dyDescent="0.2">
      <c r="I35" s="664"/>
      <c r="J35" s="664"/>
      <c r="K35" s="664"/>
      <c r="L35" s="664"/>
      <c r="M35" s="476"/>
      <c r="N35" s="476"/>
      <c r="O35" s="476"/>
      <c r="P35" s="476"/>
      <c r="Q35" s="476"/>
      <c r="R35" s="476"/>
      <c r="S35" s="476"/>
      <c r="T35" s="476"/>
    </row>
    <row r="36" spans="1:20" x14ac:dyDescent="0.2">
      <c r="I36" s="476"/>
      <c r="J36" s="476"/>
      <c r="K36" s="476"/>
      <c r="L36" s="476"/>
      <c r="M36" s="476"/>
      <c r="N36" s="476"/>
      <c r="O36" s="476"/>
      <c r="P36" s="476"/>
      <c r="Q36" s="476"/>
      <c r="R36" s="476"/>
      <c r="S36" s="476"/>
      <c r="T36" s="476"/>
    </row>
    <row r="37" spans="1:20" x14ac:dyDescent="0.2">
      <c r="I37" s="476"/>
      <c r="J37" s="476"/>
      <c r="K37" s="476"/>
      <c r="L37" s="476"/>
      <c r="M37" s="476"/>
      <c r="N37" s="476"/>
      <c r="O37" s="476"/>
      <c r="P37" s="476"/>
      <c r="Q37" s="476"/>
      <c r="R37" s="476"/>
      <c r="S37" s="476"/>
      <c r="T37" s="476"/>
    </row>
    <row r="38" spans="1:20" x14ac:dyDescent="0.2">
      <c r="I38" s="476"/>
      <c r="J38" s="476"/>
      <c r="K38" s="476"/>
      <c r="L38" s="476"/>
      <c r="M38" s="476"/>
      <c r="N38" s="476"/>
      <c r="O38" s="476"/>
      <c r="P38" s="476"/>
      <c r="Q38" s="476"/>
      <c r="R38" s="476"/>
      <c r="S38" s="476"/>
      <c r="T38" s="476"/>
    </row>
    <row r="39" spans="1:20" x14ac:dyDescent="0.2">
      <c r="I39" s="476"/>
      <c r="J39" s="476"/>
      <c r="K39" s="476"/>
      <c r="L39" s="476"/>
      <c r="M39" s="476"/>
      <c r="N39" s="476"/>
      <c r="O39" s="476"/>
      <c r="P39" s="476"/>
      <c r="Q39" s="476"/>
      <c r="R39" s="476"/>
      <c r="S39" s="476"/>
      <c r="T39" s="476"/>
    </row>
    <row r="40" spans="1:20" x14ac:dyDescent="0.2">
      <c r="I40" s="476"/>
      <c r="J40" s="476"/>
      <c r="K40" s="476"/>
      <c r="L40" s="476"/>
      <c r="M40" s="476"/>
      <c r="N40" s="476"/>
      <c r="O40" s="476"/>
      <c r="P40" s="476"/>
      <c r="Q40" s="476"/>
      <c r="R40" s="476"/>
      <c r="S40" s="476"/>
      <c r="T40" s="476"/>
    </row>
    <row r="41" spans="1:20" x14ac:dyDescent="0.2">
      <c r="I41" s="476"/>
      <c r="J41" s="476"/>
      <c r="K41" s="476"/>
      <c r="L41" s="476"/>
      <c r="M41" s="476"/>
      <c r="N41" s="476"/>
      <c r="O41" s="476"/>
      <c r="P41" s="476"/>
      <c r="Q41" s="476"/>
      <c r="R41" s="476"/>
      <c r="S41" s="476"/>
      <c r="T41" s="476"/>
    </row>
    <row r="42" spans="1:20" x14ac:dyDescent="0.2">
      <c r="I42" s="476"/>
      <c r="J42" s="476"/>
      <c r="K42" s="476"/>
      <c r="L42" s="476"/>
      <c r="M42" s="476"/>
      <c r="N42" s="476"/>
      <c r="O42" s="476"/>
      <c r="P42" s="476"/>
      <c r="Q42" s="476"/>
      <c r="R42" s="476"/>
      <c r="S42" s="476"/>
      <c r="T42" s="476"/>
    </row>
    <row r="43" spans="1:20" x14ac:dyDescent="0.2">
      <c r="I43" s="476"/>
      <c r="J43" s="476"/>
      <c r="K43" s="476"/>
      <c r="L43" s="476"/>
      <c r="M43" s="476"/>
      <c r="N43" s="476"/>
      <c r="O43" s="476"/>
      <c r="P43" s="476"/>
      <c r="Q43" s="476"/>
      <c r="R43" s="476"/>
      <c r="S43" s="476"/>
      <c r="T43" s="476"/>
    </row>
    <row r="44" spans="1:20" x14ac:dyDescent="0.2">
      <c r="I44" s="476"/>
      <c r="J44" s="476"/>
      <c r="K44" s="476"/>
      <c r="L44" s="476"/>
      <c r="M44" s="476"/>
      <c r="N44" s="476"/>
      <c r="O44" s="476"/>
      <c r="P44" s="476"/>
      <c r="Q44" s="476"/>
      <c r="R44" s="476"/>
      <c r="S44" s="476"/>
      <c r="T44" s="476"/>
    </row>
    <row r="45" spans="1:20" x14ac:dyDescent="0.2">
      <c r="I45" s="476"/>
      <c r="J45" s="476"/>
      <c r="K45" s="476"/>
      <c r="L45" s="476"/>
      <c r="M45" s="476"/>
      <c r="N45" s="476"/>
      <c r="O45" s="476"/>
      <c r="P45" s="476"/>
      <c r="Q45" s="476"/>
      <c r="R45" s="476"/>
      <c r="S45" s="476"/>
      <c r="T45" s="476"/>
    </row>
    <row r="46" spans="1:20" x14ac:dyDescent="0.2">
      <c r="I46" s="476"/>
      <c r="J46" s="476"/>
      <c r="K46" s="476"/>
      <c r="L46" s="476"/>
      <c r="M46" s="476"/>
      <c r="N46" s="476"/>
      <c r="O46" s="476"/>
      <c r="P46" s="476"/>
      <c r="Q46" s="476"/>
      <c r="R46" s="476"/>
      <c r="S46" s="476"/>
      <c r="T46" s="476"/>
    </row>
    <row r="47" spans="1:20" x14ac:dyDescent="0.2">
      <c r="I47" s="476"/>
      <c r="J47" s="476"/>
      <c r="K47" s="476"/>
      <c r="L47" s="476"/>
      <c r="M47" s="476"/>
      <c r="N47" s="476"/>
      <c r="O47" s="476"/>
      <c r="P47" s="476"/>
      <c r="Q47" s="476"/>
      <c r="R47" s="476"/>
      <c r="S47" s="476"/>
      <c r="T47" s="476"/>
    </row>
    <row r="48" spans="1:20" s="462" customFormat="1" x14ac:dyDescent="0.2">
      <c r="A48" s="461"/>
      <c r="B48" s="461"/>
      <c r="C48" s="461"/>
      <c r="D48" s="461"/>
      <c r="E48" s="461"/>
      <c r="F48" s="461"/>
      <c r="G48" s="461"/>
      <c r="H48" s="461"/>
      <c r="I48" s="476"/>
      <c r="J48" s="476"/>
      <c r="K48" s="476"/>
      <c r="L48" s="476"/>
      <c r="M48" s="476"/>
      <c r="N48" s="476"/>
      <c r="O48" s="476"/>
      <c r="P48" s="476"/>
      <c r="Q48" s="476"/>
      <c r="R48" s="476"/>
      <c r="S48" s="476"/>
      <c r="T48" s="476"/>
    </row>
    <row r="49" spans="1:20" s="462" customFormat="1" x14ac:dyDescent="0.2">
      <c r="A49" s="461"/>
      <c r="B49" s="686" t="s">
        <v>483</v>
      </c>
      <c r="C49" s="665"/>
      <c r="D49" s="665"/>
      <c r="E49" s="665"/>
      <c r="F49" s="461"/>
      <c r="G49" s="461"/>
      <c r="H49" s="461"/>
      <c r="I49" s="476"/>
      <c r="J49" s="476"/>
      <c r="K49" s="476"/>
      <c r="L49" s="476"/>
      <c r="M49" s="476"/>
      <c r="N49" s="476"/>
      <c r="O49" s="476"/>
      <c r="P49" s="476"/>
      <c r="Q49" s="476"/>
      <c r="R49" s="476"/>
      <c r="S49" s="476"/>
      <c r="T49" s="476"/>
    </row>
    <row r="50" spans="1:20" s="462" customFormat="1" x14ac:dyDescent="0.2">
      <c r="A50" s="461"/>
      <c r="B50" s="666"/>
      <c r="C50" s="665"/>
      <c r="D50" s="665"/>
      <c r="E50" s="665"/>
      <c r="F50" s="461"/>
      <c r="G50" s="461"/>
      <c r="H50" s="461"/>
      <c r="I50" s="476"/>
      <c r="J50" s="476"/>
      <c r="K50" s="476"/>
      <c r="L50" s="476"/>
      <c r="M50" s="476"/>
      <c r="N50" s="476"/>
      <c r="O50" s="476"/>
      <c r="P50" s="476"/>
      <c r="Q50" s="476"/>
      <c r="R50" s="476"/>
      <c r="S50" s="476"/>
      <c r="T50" s="476"/>
    </row>
    <row r="51" spans="1:20" s="462" customFormat="1" x14ac:dyDescent="0.2">
      <c r="A51" s="461"/>
      <c r="B51" s="461"/>
      <c r="C51" s="461"/>
      <c r="D51" s="461"/>
      <c r="E51" s="461"/>
      <c r="F51" s="461"/>
      <c r="G51" s="461"/>
      <c r="H51" s="461"/>
      <c r="I51" s="476"/>
      <c r="J51" s="476"/>
      <c r="K51" s="476"/>
      <c r="L51" s="476"/>
      <c r="M51" s="476"/>
      <c r="N51" s="476"/>
      <c r="O51" s="476"/>
      <c r="P51" s="476"/>
      <c r="Q51" s="476"/>
      <c r="R51" s="476"/>
      <c r="S51" s="476"/>
      <c r="T51" s="476"/>
    </row>
    <row r="52" spans="1:20" s="462" customFormat="1" x14ac:dyDescent="0.2">
      <c r="A52" s="461"/>
      <c r="B52" s="461"/>
      <c r="C52" s="461"/>
      <c r="D52" s="461"/>
      <c r="E52" s="461"/>
      <c r="F52" s="461"/>
      <c r="G52" s="461"/>
      <c r="H52" s="461"/>
      <c r="I52" s="476"/>
      <c r="J52" s="476"/>
      <c r="K52" s="476"/>
      <c r="L52" s="476"/>
      <c r="M52" s="476"/>
      <c r="N52" s="476"/>
      <c r="O52" s="476"/>
      <c r="P52" s="476"/>
      <c r="Q52" s="476"/>
      <c r="R52" s="476"/>
      <c r="S52" s="476"/>
      <c r="T52" s="476"/>
    </row>
    <row r="53" spans="1:20" s="462" customFormat="1" x14ac:dyDescent="0.2">
      <c r="A53" s="461"/>
      <c r="B53" s="461"/>
      <c r="C53" s="461"/>
      <c r="D53" s="461"/>
      <c r="E53" s="461"/>
      <c r="F53" s="461"/>
      <c r="G53" s="461"/>
      <c r="H53" s="461"/>
      <c r="I53" s="476"/>
      <c r="J53" s="476"/>
      <c r="K53" s="476"/>
      <c r="L53" s="476"/>
      <c r="M53" s="476"/>
      <c r="N53" s="476"/>
      <c r="O53" s="476"/>
      <c r="P53" s="476"/>
      <c r="Q53" s="476"/>
      <c r="R53" s="476"/>
      <c r="S53" s="476"/>
      <c r="T53" s="476"/>
    </row>
    <row r="54" spans="1:20" s="462" customFormat="1" x14ac:dyDescent="0.2">
      <c r="A54" s="461"/>
      <c r="C54" s="461"/>
      <c r="D54" s="461"/>
      <c r="E54" s="461"/>
      <c r="F54" s="461"/>
      <c r="G54" s="461"/>
      <c r="H54" s="461"/>
      <c r="I54" s="476"/>
      <c r="J54" s="476"/>
      <c r="K54" s="476"/>
      <c r="L54" s="476"/>
      <c r="M54" s="476"/>
      <c r="N54" s="476"/>
      <c r="O54" s="476"/>
      <c r="P54" s="476"/>
      <c r="Q54" s="476"/>
      <c r="R54" s="476"/>
      <c r="S54" s="476"/>
      <c r="T54" s="476"/>
    </row>
  </sheetData>
  <sheetProtection algorithmName="SHA-512" hashValue="zR4YcDVw4S51vk8yDHgm0LQ/HaseFw4R9zz7k2NHkdevg9hWEDn0ssKAX/UVUl/yUek5fDXijIUqevzijB+3Pg==" saltValue="qGyE1tV20TbyGaUqK2PLFg==" spinCount="100000" sheet="1" objects="1" scenarios="1"/>
  <mergeCells count="12">
    <mergeCell ref="C3:D3"/>
    <mergeCell ref="I2:R2"/>
    <mergeCell ref="I4:R4"/>
    <mergeCell ref="N16:S16"/>
    <mergeCell ref="K16:M16"/>
    <mergeCell ref="I16:I17"/>
    <mergeCell ref="D7:E7"/>
    <mergeCell ref="D8:E8"/>
    <mergeCell ref="D9:E9"/>
    <mergeCell ref="D10:E10"/>
    <mergeCell ref="D11:E11"/>
    <mergeCell ref="D12:E12"/>
  </mergeCells>
  <phoneticPr fontId="55" type="noConversion"/>
  <conditionalFormatting sqref="J8:M8">
    <cfRule type="expression" dxfId="270" priority="14">
      <formula>ISNUMBER(J8)</formula>
    </cfRule>
  </conditionalFormatting>
  <conditionalFormatting sqref="J9:O9">
    <cfRule type="expression" dxfId="269" priority="12">
      <formula>ISNUMBER(J9)</formula>
    </cfRule>
  </conditionalFormatting>
  <conditionalFormatting sqref="J11:Q11">
    <cfRule type="cellIs" dxfId="268" priority="10" operator="equal">
      <formula>1</formula>
    </cfRule>
  </conditionalFormatting>
  <conditionalFormatting sqref="J12">
    <cfRule type="cellIs" dxfId="267" priority="9" operator="equal">
      <formula>1</formula>
    </cfRule>
  </conditionalFormatting>
  <conditionalFormatting sqref="K12">
    <cfRule type="cellIs" dxfId="266" priority="8" operator="equal">
      <formula>1</formula>
    </cfRule>
  </conditionalFormatting>
  <conditionalFormatting sqref="M12">
    <cfRule type="cellIs" dxfId="265" priority="6" operator="equal">
      <formula>1</formula>
    </cfRule>
  </conditionalFormatting>
  <conditionalFormatting sqref="L12">
    <cfRule type="cellIs" dxfId="264" priority="7" operator="equal">
      <formula>1</formula>
    </cfRule>
  </conditionalFormatting>
  <conditionalFormatting sqref="N12">
    <cfRule type="cellIs" dxfId="263" priority="5" operator="equal">
      <formula>1</formula>
    </cfRule>
  </conditionalFormatting>
  <conditionalFormatting sqref="O12">
    <cfRule type="cellIs" dxfId="262" priority="4" operator="equal">
      <formula>1</formula>
    </cfRule>
  </conditionalFormatting>
  <conditionalFormatting sqref="P12">
    <cfRule type="cellIs" dxfId="261" priority="3" operator="equal">
      <formula>1</formula>
    </cfRule>
  </conditionalFormatting>
  <conditionalFormatting sqref="I2:R2">
    <cfRule type="expression" dxfId="260" priority="85">
      <formula>SUM($V$8:$AD$12)=40</formula>
    </cfRule>
  </conditionalFormatting>
  <conditionalFormatting sqref="J10:Q10">
    <cfRule type="expression" dxfId="259" priority="86">
      <formula>J10=$V$3</formula>
    </cfRule>
  </conditionalFormatting>
  <pageMargins left="0.7" right="0.7" top="0.78740157499999996" bottom="0.78740157499999996" header="0.3" footer="0.3"/>
  <pageSetup paperSize="9" orientation="portrait" r:id="rId1"/>
  <drawing r:id="rId2"/>
  <extLst>
    <ext xmlns:x14="http://schemas.microsoft.com/office/spreadsheetml/2009/9/main" uri="{78C0D931-6437-407d-A8EE-F0AAD7539E65}">
      <x14:conditionalFormattings>
        <x14:conditionalFormatting xmlns:xm="http://schemas.microsoft.com/office/excel/2006/main">
          <x14:cfRule type="expression" priority="17" id="{00000000-000E-0000-0100-00000F000000}">
            <xm:f>MAX('Eliminatorni kriteriji'!$H$9:$H$17)=1</xm:f>
            <x14:dxf>
              <font>
                <color theme="9"/>
              </font>
            </x14:dxf>
          </x14:cfRule>
          <xm:sqref>I4</xm:sqref>
        </x14:conditionalFormatting>
      </x14:conditionalFormatting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Tabelle20"/>
  <dimension ref="A1:J19"/>
  <sheetViews>
    <sheetView showGridLines="0" zoomScaleNormal="100" workbookViewId="0">
      <selection activeCell="G9" sqref="G9"/>
    </sheetView>
  </sheetViews>
  <sheetFormatPr defaultColWidth="11" defaultRowHeight="15.75" outlineLevelCol="1" x14ac:dyDescent="0.25"/>
  <cols>
    <col min="1" max="2" width="3.875" style="80" customWidth="1"/>
    <col min="3" max="3" width="9.375" style="80" customWidth="1"/>
    <col min="4" max="4" width="74.625" style="80" customWidth="1"/>
    <col min="5" max="5" width="3.875" style="80" customWidth="1"/>
    <col min="6" max="7" width="10.875" style="80"/>
    <col min="8" max="8" width="0" style="80" hidden="1" customWidth="1" outlineLevel="1"/>
    <col min="9" max="9" width="10.875" style="80" collapsed="1"/>
    <col min="10" max="10" width="10.875" style="80"/>
  </cols>
  <sheetData>
    <row r="1" spans="1:8" ht="16.5" thickBot="1" x14ac:dyDescent="0.3">
      <c r="A1" s="1"/>
      <c r="B1" s="1"/>
      <c r="C1" s="24"/>
      <c r="D1" s="1"/>
      <c r="E1" s="1"/>
    </row>
    <row r="2" spans="1:8" ht="17.100000000000001" customHeight="1" x14ac:dyDescent="0.25">
      <c r="A2" s="1"/>
      <c r="B2" s="6"/>
      <c r="C2" s="10"/>
      <c r="D2" s="11"/>
      <c r="E2" s="20"/>
      <c r="H2" s="80" t="s">
        <v>511</v>
      </c>
    </row>
    <row r="3" spans="1:8" ht="17.100000000000001" customHeight="1" x14ac:dyDescent="0.25">
      <c r="A3" s="1"/>
      <c r="B3" s="7"/>
      <c r="C3" s="796" t="s">
        <v>218</v>
      </c>
      <c r="D3" s="796"/>
      <c r="E3" s="30"/>
      <c r="H3" s="80">
        <v>1</v>
      </c>
    </row>
    <row r="4" spans="1:8" ht="17.100000000000001" customHeight="1" thickBot="1" x14ac:dyDescent="0.3">
      <c r="A4" s="1"/>
      <c r="B4" s="31"/>
      <c r="C4" s="32"/>
      <c r="D4" s="32"/>
      <c r="E4" s="23"/>
      <c r="H4" s="80">
        <v>2</v>
      </c>
    </row>
    <row r="5" spans="1:8" ht="17.100000000000001" customHeight="1" thickBot="1" x14ac:dyDescent="0.3">
      <c r="A5" s="1"/>
      <c r="B5" s="1"/>
      <c r="C5" s="26"/>
      <c r="D5" s="26"/>
      <c r="E5" s="1"/>
      <c r="H5" s="80">
        <v>3</v>
      </c>
    </row>
    <row r="6" spans="1:8" ht="17.100000000000001" customHeight="1" thickBot="1" x14ac:dyDescent="0.3">
      <c r="A6" s="1"/>
      <c r="B6" s="6"/>
      <c r="C6" s="10"/>
      <c r="D6" s="11"/>
      <c r="E6" s="20"/>
      <c r="H6" s="80">
        <v>4</v>
      </c>
    </row>
    <row r="7" spans="1:8" ht="17.100000000000001" customHeight="1" thickBot="1" x14ac:dyDescent="0.3">
      <c r="A7" s="2"/>
      <c r="B7" s="8"/>
      <c r="C7" s="106" t="s">
        <v>493</v>
      </c>
      <c r="D7" s="108" t="s">
        <v>148</v>
      </c>
      <c r="E7" s="22"/>
      <c r="H7" s="80">
        <v>5</v>
      </c>
    </row>
    <row r="8" spans="1:8" ht="33.950000000000003" customHeight="1" thickBot="1" x14ac:dyDescent="0.3">
      <c r="A8" s="1"/>
      <c r="B8" s="7"/>
      <c r="C8" s="110">
        <v>0</v>
      </c>
      <c r="D8" s="111" t="s">
        <v>212</v>
      </c>
      <c r="E8" s="21"/>
      <c r="H8" s="80" t="s">
        <v>82</v>
      </c>
    </row>
    <row r="9" spans="1:8" ht="33.950000000000003" customHeight="1" thickBot="1" x14ac:dyDescent="0.3">
      <c r="A9" s="1"/>
      <c r="B9" s="7"/>
      <c r="C9" s="110">
        <v>1</v>
      </c>
      <c r="D9" s="111" t="s">
        <v>219</v>
      </c>
      <c r="E9" s="21"/>
    </row>
    <row r="10" spans="1:8" ht="33.950000000000003" customHeight="1" thickBot="1" x14ac:dyDescent="0.3">
      <c r="A10" s="1"/>
      <c r="B10" s="7"/>
      <c r="C10" s="110">
        <v>2</v>
      </c>
      <c r="D10" s="111" t="s">
        <v>220</v>
      </c>
      <c r="E10" s="21"/>
    </row>
    <row r="11" spans="1:8" ht="33.950000000000003" customHeight="1" thickBot="1" x14ac:dyDescent="0.3">
      <c r="A11" s="1"/>
      <c r="B11" s="7"/>
      <c r="C11" s="110">
        <v>3</v>
      </c>
      <c r="D11" s="111" t="s">
        <v>221</v>
      </c>
      <c r="E11" s="21"/>
    </row>
    <row r="12" spans="1:8" ht="33.950000000000003" customHeight="1" thickBot="1" x14ac:dyDescent="0.3">
      <c r="A12" s="1"/>
      <c r="B12" s="7"/>
      <c r="C12" s="110">
        <v>4</v>
      </c>
      <c r="D12" s="111" t="s">
        <v>222</v>
      </c>
      <c r="E12" s="21"/>
    </row>
    <row r="13" spans="1:8" ht="33.950000000000003" customHeight="1" thickBot="1" x14ac:dyDescent="0.3">
      <c r="A13" s="1"/>
      <c r="B13" s="7"/>
      <c r="C13" s="109">
        <v>5</v>
      </c>
      <c r="D13" s="107" t="s">
        <v>223</v>
      </c>
      <c r="E13" s="21"/>
    </row>
    <row r="14" spans="1:8" ht="17.100000000000001" customHeight="1" thickBot="1" x14ac:dyDescent="0.3">
      <c r="A14" s="1"/>
      <c r="B14" s="7"/>
      <c r="C14" s="37"/>
      <c r="D14" s="37"/>
      <c r="E14" s="21"/>
    </row>
    <row r="15" spans="1:8" ht="33.950000000000003" customHeight="1" thickBot="1" x14ac:dyDescent="0.3">
      <c r="A15" s="1"/>
      <c r="B15" s="7"/>
      <c r="C15" s="694" t="s">
        <v>82</v>
      </c>
      <c r="D15" s="112" t="s">
        <v>494</v>
      </c>
      <c r="E15" s="21"/>
    </row>
    <row r="16" spans="1:8" ht="16.5" thickBot="1" x14ac:dyDescent="0.3">
      <c r="A16" s="1"/>
      <c r="B16" s="31"/>
      <c r="C16" s="41"/>
      <c r="D16" s="19"/>
      <c r="E16" s="23"/>
    </row>
    <row r="17" spans="1:5" ht="18" x14ac:dyDescent="0.25">
      <c r="A17" s="1"/>
      <c r="B17" s="1"/>
      <c r="C17" s="26"/>
      <c r="D17" s="26"/>
      <c r="E17" s="1"/>
    </row>
    <row r="19" spans="1:5" ht="23.25" x14ac:dyDescent="0.35">
      <c r="B19" s="84"/>
    </row>
  </sheetData>
  <sheetProtection algorithmName="SHA-512" hashValue="MiY1HABk73w/LQJvxs237UCwXF2zB6qumhvQuzTmRqfgY8g1hRA6Q39EKGOp1ODTXxHpU8ZJLsk7WbWd6yZsyA==" saltValue="2sKZZu0f9bhr/UWDmGD+vw==" spinCount="100000" sheet="1" objects="1" scenarios="1"/>
  <mergeCells count="1">
    <mergeCell ref="C3:D3"/>
  </mergeCells>
  <conditionalFormatting sqref="C15">
    <cfRule type="expression" dxfId="219" priority="1">
      <formula>$C$15&lt;&gt;$H$8</formula>
    </cfRule>
  </conditionalFormatting>
  <dataValidations count="1">
    <dataValidation type="list" allowBlank="1" showInputMessage="1" showErrorMessage="1" errorTitle="Wrong value!" error="Only integer values between 0 and 5 allowed." prompt="Izaberite " sqref="C15" xr:uid="{00000000-0002-0000-1400-000000000000}">
      <formula1>$H$3:$H$8</formula1>
    </dataValidation>
  </dataValidation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Tabelle21"/>
  <dimension ref="A1:J19"/>
  <sheetViews>
    <sheetView showGridLines="0" zoomScaleNormal="100" workbookViewId="0">
      <selection activeCell="C15" sqref="C15"/>
    </sheetView>
  </sheetViews>
  <sheetFormatPr defaultColWidth="11" defaultRowHeight="15.75" outlineLevelCol="1" x14ac:dyDescent="0.25"/>
  <cols>
    <col min="1" max="2" width="3.875" style="80" customWidth="1"/>
    <col min="3" max="3" width="9.375" style="80" customWidth="1"/>
    <col min="4" max="4" width="74.625" style="80" customWidth="1"/>
    <col min="5" max="5" width="3.875" style="80" customWidth="1"/>
    <col min="6" max="7" width="10.875" style="80"/>
    <col min="8" max="8" width="0" style="80" hidden="1" customWidth="1" outlineLevel="1"/>
    <col min="9" max="9" width="10.875" style="80" collapsed="1"/>
    <col min="10" max="10" width="10.875" style="80"/>
  </cols>
  <sheetData>
    <row r="1" spans="1:8" ht="16.5" thickBot="1" x14ac:dyDescent="0.3">
      <c r="A1" s="1"/>
      <c r="B1" s="1"/>
      <c r="C1" s="24"/>
      <c r="D1" s="1"/>
      <c r="E1" s="1"/>
    </row>
    <row r="2" spans="1:8" ht="17.100000000000001" customHeight="1" x14ac:dyDescent="0.25">
      <c r="A2" s="1"/>
      <c r="B2" s="6"/>
      <c r="C2" s="10"/>
      <c r="D2" s="11"/>
      <c r="E2" s="20"/>
      <c r="H2" s="80" t="s">
        <v>511</v>
      </c>
    </row>
    <row r="3" spans="1:8" ht="17.100000000000001" customHeight="1" x14ac:dyDescent="0.25">
      <c r="A3" s="1"/>
      <c r="B3" s="7"/>
      <c r="C3" s="796" t="s">
        <v>224</v>
      </c>
      <c r="D3" s="796"/>
      <c r="E3" s="30"/>
      <c r="H3" s="80">
        <v>1</v>
      </c>
    </row>
    <row r="4" spans="1:8" ht="17.100000000000001" customHeight="1" thickBot="1" x14ac:dyDescent="0.3">
      <c r="A4" s="1"/>
      <c r="B4" s="31"/>
      <c r="C4" s="32"/>
      <c r="D4" s="32"/>
      <c r="E4" s="23"/>
      <c r="H4" s="80">
        <v>2</v>
      </c>
    </row>
    <row r="5" spans="1:8" ht="17.100000000000001" customHeight="1" thickBot="1" x14ac:dyDescent="0.3">
      <c r="A5" s="1"/>
      <c r="B5" s="1"/>
      <c r="C5" s="26"/>
      <c r="D5" s="26"/>
      <c r="E5" s="1"/>
      <c r="H5" s="80">
        <v>3</v>
      </c>
    </row>
    <row r="6" spans="1:8" ht="17.100000000000001" customHeight="1" thickBot="1" x14ac:dyDescent="0.3">
      <c r="A6" s="1"/>
      <c r="B6" s="6"/>
      <c r="C6" s="10"/>
      <c r="D6" s="11"/>
      <c r="E6" s="20"/>
      <c r="H6" s="80">
        <v>4</v>
      </c>
    </row>
    <row r="7" spans="1:8" ht="17.100000000000001" customHeight="1" thickBot="1" x14ac:dyDescent="0.3">
      <c r="A7" s="2"/>
      <c r="B7" s="8"/>
      <c r="C7" s="106" t="s">
        <v>493</v>
      </c>
      <c r="D7" s="108" t="s">
        <v>148</v>
      </c>
      <c r="E7" s="22"/>
      <c r="H7" s="80">
        <v>5</v>
      </c>
    </row>
    <row r="8" spans="1:8" ht="33.950000000000003" customHeight="1" thickBot="1" x14ac:dyDescent="0.3">
      <c r="A8" s="1"/>
      <c r="B8" s="7"/>
      <c r="C8" s="110">
        <v>0</v>
      </c>
      <c r="D8" s="111" t="s">
        <v>212</v>
      </c>
      <c r="E8" s="21"/>
      <c r="H8" s="80" t="s">
        <v>82</v>
      </c>
    </row>
    <row r="9" spans="1:8" ht="33.950000000000003" customHeight="1" thickBot="1" x14ac:dyDescent="0.3">
      <c r="A9" s="1"/>
      <c r="B9" s="7"/>
      <c r="C9" s="110">
        <v>1</v>
      </c>
      <c r="D9" s="111" t="s">
        <v>225</v>
      </c>
      <c r="E9" s="21"/>
    </row>
    <row r="10" spans="1:8" ht="33.950000000000003" customHeight="1" thickBot="1" x14ac:dyDescent="0.3">
      <c r="A10" s="1"/>
      <c r="B10" s="7"/>
      <c r="C10" s="110">
        <v>2</v>
      </c>
      <c r="D10" s="111" t="s">
        <v>226</v>
      </c>
      <c r="E10" s="21"/>
    </row>
    <row r="11" spans="1:8" ht="33.950000000000003" customHeight="1" thickBot="1" x14ac:dyDescent="0.3">
      <c r="A11" s="1"/>
      <c r="B11" s="7"/>
      <c r="C11" s="110">
        <v>3</v>
      </c>
      <c r="D11" s="111" t="s">
        <v>227</v>
      </c>
      <c r="E11" s="21"/>
    </row>
    <row r="12" spans="1:8" ht="33.950000000000003" customHeight="1" thickBot="1" x14ac:dyDescent="0.3">
      <c r="A12" s="1"/>
      <c r="B12" s="7"/>
      <c r="C12" s="110">
        <v>4</v>
      </c>
      <c r="D12" s="111" t="s">
        <v>228</v>
      </c>
      <c r="E12" s="21"/>
    </row>
    <row r="13" spans="1:8" ht="33.950000000000003" customHeight="1" thickBot="1" x14ac:dyDescent="0.3">
      <c r="A13" s="1"/>
      <c r="B13" s="7"/>
      <c r="C13" s="109">
        <v>5</v>
      </c>
      <c r="D13" s="107" t="s">
        <v>229</v>
      </c>
      <c r="E13" s="21"/>
    </row>
    <row r="14" spans="1:8" ht="17.100000000000001" customHeight="1" thickBot="1" x14ac:dyDescent="0.3">
      <c r="A14" s="1"/>
      <c r="B14" s="7"/>
      <c r="C14" s="37"/>
      <c r="D14" s="37"/>
      <c r="E14" s="21"/>
    </row>
    <row r="15" spans="1:8" ht="33.950000000000003" customHeight="1" thickBot="1" x14ac:dyDescent="0.3">
      <c r="A15" s="1"/>
      <c r="B15" s="7"/>
      <c r="C15" s="694" t="s">
        <v>82</v>
      </c>
      <c r="D15" s="112" t="s">
        <v>494</v>
      </c>
      <c r="E15" s="21"/>
    </row>
    <row r="16" spans="1:8" ht="16.5" thickBot="1" x14ac:dyDescent="0.3">
      <c r="A16" s="1"/>
      <c r="B16" s="31"/>
      <c r="C16" s="41"/>
      <c r="D16" s="19"/>
      <c r="E16" s="23"/>
    </row>
    <row r="17" spans="1:5" ht="18" x14ac:dyDescent="0.25">
      <c r="A17" s="1"/>
      <c r="B17" s="1"/>
      <c r="C17" s="26"/>
      <c r="D17" s="26"/>
      <c r="E17" s="1"/>
    </row>
    <row r="18" spans="1:5" x14ac:dyDescent="0.25">
      <c r="C18" s="80" t="s">
        <v>230</v>
      </c>
    </row>
    <row r="19" spans="1:5" ht="23.25" x14ac:dyDescent="0.35">
      <c r="B19" s="84"/>
    </row>
  </sheetData>
  <sheetProtection algorithmName="SHA-512" hashValue="xx6RN24Kwg3ceqEK7o6Ozh81ZPla/rFzWxuE3WsfGIZxOsCnbPfHDsAJx4itH8ZsyvPsDdgiivf6Sl5VOQUdJA==" saltValue="kWcHqP0jNoTAtcmawsWi9Q==" spinCount="100000" sheet="1" objects="1" scenarios="1"/>
  <mergeCells count="1">
    <mergeCell ref="C3:D3"/>
  </mergeCells>
  <conditionalFormatting sqref="C15">
    <cfRule type="expression" dxfId="218" priority="1">
      <formula>$C$15&lt;&gt;$H$8</formula>
    </cfRule>
  </conditionalFormatting>
  <dataValidations count="1">
    <dataValidation type="list" allowBlank="1" showInputMessage="1" showErrorMessage="1" errorTitle="Wrong value!" error="Only integer values between 0 and 5 allowed." prompt="Izaberite " sqref="C15" xr:uid="{00000000-0002-0000-1500-000000000000}">
      <formula1>$H$3:$H$8</formula1>
    </dataValidation>
  </dataValidation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Tabelle22"/>
  <dimension ref="A1:J26"/>
  <sheetViews>
    <sheetView showGridLines="0" zoomScaleNormal="100" workbookViewId="0">
      <selection activeCell="G6" sqref="G6"/>
    </sheetView>
  </sheetViews>
  <sheetFormatPr defaultColWidth="11" defaultRowHeight="15.75" outlineLevelCol="1" x14ac:dyDescent="0.25"/>
  <cols>
    <col min="1" max="2" width="3.875" style="80" customWidth="1"/>
    <col min="3" max="3" width="9.375" style="80" customWidth="1"/>
    <col min="4" max="4" width="74.625" style="80" customWidth="1"/>
    <col min="5" max="5" width="3.875" style="80" customWidth="1"/>
    <col min="6" max="7" width="10.875" style="80"/>
    <col min="8" max="8" width="0" style="80" hidden="1" customWidth="1" outlineLevel="1"/>
    <col min="9" max="9" width="0" style="80" hidden="1" customWidth="1" collapsed="1"/>
    <col min="10" max="10" width="10.875" style="80"/>
  </cols>
  <sheetData>
    <row r="1" spans="1:9" ht="16.5" thickBot="1" x14ac:dyDescent="0.3">
      <c r="A1" s="1"/>
      <c r="B1" s="1"/>
      <c r="C1" s="24"/>
      <c r="D1" s="1"/>
      <c r="E1" s="1"/>
    </row>
    <row r="2" spans="1:9" ht="17.100000000000001" customHeight="1" x14ac:dyDescent="0.25">
      <c r="A2" s="1"/>
      <c r="B2" s="6"/>
      <c r="C2" s="10"/>
      <c r="D2" s="11"/>
      <c r="E2" s="20"/>
      <c r="H2" s="80" t="s">
        <v>511</v>
      </c>
    </row>
    <row r="3" spans="1:9" ht="17.100000000000001" customHeight="1" x14ac:dyDescent="0.25">
      <c r="A3" s="1"/>
      <c r="B3" s="7"/>
      <c r="C3" s="796" t="s">
        <v>239</v>
      </c>
      <c r="D3" s="796"/>
      <c r="E3" s="30"/>
      <c r="H3" s="80">
        <v>0</v>
      </c>
      <c r="I3" s="80" t="s">
        <v>83</v>
      </c>
    </row>
    <row r="4" spans="1:9" ht="17.100000000000001" customHeight="1" thickBot="1" x14ac:dyDescent="0.3">
      <c r="A4" s="1"/>
      <c r="B4" s="31"/>
      <c r="C4" s="32"/>
      <c r="D4" s="32"/>
      <c r="E4" s="23"/>
      <c r="H4" s="80">
        <v>1</v>
      </c>
      <c r="I4" s="80" t="s">
        <v>84</v>
      </c>
    </row>
    <row r="5" spans="1:9" ht="17.100000000000001" customHeight="1" thickBot="1" x14ac:dyDescent="0.3">
      <c r="A5" s="1"/>
      <c r="B5" s="327"/>
      <c r="C5" s="502"/>
      <c r="D5" s="502"/>
      <c r="E5" s="327"/>
      <c r="H5" s="80">
        <v>2</v>
      </c>
      <c r="I5" s="80" t="s">
        <v>82</v>
      </c>
    </row>
    <row r="6" spans="1:9" ht="17.100000000000001" customHeight="1" x14ac:dyDescent="0.25">
      <c r="A6" s="1"/>
      <c r="B6" s="503"/>
      <c r="C6" s="504"/>
      <c r="D6" s="504"/>
      <c r="E6" s="505"/>
      <c r="H6" s="80">
        <v>3</v>
      </c>
    </row>
    <row r="7" spans="1:9" ht="17.100000000000001" customHeight="1" x14ac:dyDescent="0.25">
      <c r="A7" s="1"/>
      <c r="B7" s="332"/>
      <c r="C7" s="502" t="s">
        <v>232</v>
      </c>
      <c r="D7" s="502"/>
      <c r="E7" s="506"/>
      <c r="H7" s="80">
        <v>4</v>
      </c>
    </row>
    <row r="8" spans="1:9" ht="9.9499999999999993" customHeight="1" thickBot="1" x14ac:dyDescent="0.3">
      <c r="A8" s="1"/>
      <c r="B8" s="332"/>
      <c r="C8" s="502"/>
      <c r="D8" s="502"/>
      <c r="E8" s="506"/>
      <c r="H8" s="80">
        <v>5</v>
      </c>
    </row>
    <row r="9" spans="1:9" ht="33.950000000000003" customHeight="1" thickBot="1" x14ac:dyDescent="0.3">
      <c r="A9" s="1"/>
      <c r="B9" s="332"/>
      <c r="C9" s="585" t="s">
        <v>82</v>
      </c>
      <c r="D9" s="70" t="s">
        <v>233</v>
      </c>
      <c r="E9" s="506"/>
      <c r="H9" s="80" t="s">
        <v>82</v>
      </c>
    </row>
    <row r="10" spans="1:9" ht="17.100000000000001" customHeight="1" thickBot="1" x14ac:dyDescent="0.3">
      <c r="A10" s="1"/>
      <c r="B10" s="334"/>
      <c r="C10" s="507"/>
      <c r="D10" s="507"/>
      <c r="E10" s="508"/>
    </row>
    <row r="11" spans="1:9" ht="17.100000000000001" customHeight="1" thickBot="1" x14ac:dyDescent="0.3">
      <c r="A11" s="1"/>
      <c r="B11" s="327"/>
      <c r="C11" s="502"/>
      <c r="D11" s="502"/>
      <c r="E11" s="327"/>
    </row>
    <row r="12" spans="1:9" ht="17.100000000000001" customHeight="1" thickBot="1" x14ac:dyDescent="0.3">
      <c r="A12" s="1"/>
      <c r="B12" s="6"/>
      <c r="C12" s="10"/>
      <c r="D12" s="11"/>
      <c r="E12" s="20"/>
    </row>
    <row r="13" spans="1:9" ht="17.100000000000001" customHeight="1" thickBot="1" x14ac:dyDescent="0.3">
      <c r="A13" s="2"/>
      <c r="B13" s="8"/>
      <c r="C13" s="106" t="s">
        <v>493</v>
      </c>
      <c r="D13" s="108" t="s">
        <v>148</v>
      </c>
      <c r="E13" s="22"/>
      <c r="F13" s="135"/>
    </row>
    <row r="14" spans="1:9" ht="33.950000000000003" customHeight="1" thickBot="1" x14ac:dyDescent="0.3">
      <c r="A14" s="1"/>
      <c r="B14" s="7"/>
      <c r="C14" s="110">
        <v>0</v>
      </c>
      <c r="D14" s="111" t="s">
        <v>231</v>
      </c>
      <c r="E14" s="21"/>
    </row>
    <row r="15" spans="1:9" ht="33.950000000000003" customHeight="1" thickBot="1" x14ac:dyDescent="0.3">
      <c r="A15" s="1"/>
      <c r="B15" s="7"/>
      <c r="C15" s="110">
        <v>1</v>
      </c>
      <c r="D15" s="111" t="s">
        <v>234</v>
      </c>
      <c r="E15" s="21"/>
    </row>
    <row r="16" spans="1:9" ht="33.950000000000003" customHeight="1" thickBot="1" x14ac:dyDescent="0.3">
      <c r="A16" s="1"/>
      <c r="B16" s="7"/>
      <c r="C16" s="110">
        <v>2</v>
      </c>
      <c r="D16" s="111" t="s">
        <v>235</v>
      </c>
      <c r="E16" s="21"/>
    </row>
    <row r="17" spans="1:5" ht="33.950000000000003" customHeight="1" thickBot="1" x14ac:dyDescent="0.3">
      <c r="A17" s="1"/>
      <c r="B17" s="7"/>
      <c r="C17" s="110">
        <v>3</v>
      </c>
      <c r="D17" s="111" t="s">
        <v>236</v>
      </c>
      <c r="E17" s="21"/>
    </row>
    <row r="18" spans="1:5" ht="33.950000000000003" customHeight="1" thickBot="1" x14ac:dyDescent="0.3">
      <c r="A18" s="1"/>
      <c r="B18" s="7"/>
      <c r="C18" s="110">
        <v>4</v>
      </c>
      <c r="D18" s="111" t="s">
        <v>237</v>
      </c>
      <c r="E18" s="21"/>
    </row>
    <row r="19" spans="1:5" ht="33.950000000000003" customHeight="1" thickBot="1" x14ac:dyDescent="0.3">
      <c r="A19" s="1"/>
      <c r="B19" s="7"/>
      <c r="C19" s="109">
        <v>5</v>
      </c>
      <c r="D19" s="107" t="s">
        <v>238</v>
      </c>
      <c r="E19" s="21"/>
    </row>
    <row r="20" spans="1:5" ht="17.100000000000001" customHeight="1" thickBot="1" x14ac:dyDescent="0.3">
      <c r="A20" s="1"/>
      <c r="B20" s="7"/>
      <c r="C20" s="37"/>
      <c r="D20" s="37"/>
      <c r="E20" s="21"/>
    </row>
    <row r="21" spans="1:5" ht="33.950000000000003" customHeight="1" thickBot="1" x14ac:dyDescent="0.3">
      <c r="A21" s="1"/>
      <c r="B21" s="7"/>
      <c r="C21" s="694" t="s">
        <v>82</v>
      </c>
      <c r="D21" s="112" t="s">
        <v>494</v>
      </c>
      <c r="E21" s="21"/>
    </row>
    <row r="22" spans="1:5" ht="16.5" thickBot="1" x14ac:dyDescent="0.3">
      <c r="A22" s="1"/>
      <c r="B22" s="31"/>
      <c r="C22" s="41"/>
      <c r="D22" s="19"/>
      <c r="E22" s="23"/>
    </row>
    <row r="23" spans="1:5" ht="18" x14ac:dyDescent="0.25">
      <c r="A23" s="1"/>
      <c r="B23" s="1"/>
      <c r="C23" s="26"/>
      <c r="D23" s="26"/>
      <c r="E23" s="1"/>
    </row>
    <row r="24" spans="1:5" ht="32.1" customHeight="1" x14ac:dyDescent="0.25">
      <c r="C24" s="134" t="str">
        <f>IF(C9=I4,"Kriterij nije primjenjiv - težinski udio kriterija se ravnomjerno raspoređuje na ostale kriterije u ovoj stručnoj oblasti!", IF(OR(C21&gt;0,C21=""),"","Isključuje se iz daljnje procjene!"))</f>
        <v/>
      </c>
    </row>
    <row r="25" spans="1:5" ht="23.25" x14ac:dyDescent="0.35">
      <c r="B25" s="84"/>
    </row>
    <row r="26" spans="1:5" ht="15.95" customHeight="1" x14ac:dyDescent="0.25"/>
  </sheetData>
  <sheetProtection algorithmName="SHA-512" hashValue="pm0Bi//puRUkKsk7rN65p9XHA0mhRqbgeJRoAoGNV4rhvaFKtQyyOabTxyW2u/bZrwP+GnDWJqT+EXjYgAHbDQ==" saltValue="0z3AXKryJFbO1zFtT/VrlA==" spinCount="100000" sheet="1" objects="1" scenarios="1"/>
  <mergeCells count="1">
    <mergeCell ref="C3:D3"/>
  </mergeCells>
  <conditionalFormatting sqref="C21">
    <cfRule type="expression" dxfId="217" priority="1">
      <formula>$C21&lt;&gt;$H$9</formula>
    </cfRule>
  </conditionalFormatting>
  <dataValidations xWindow="132" yWindow="499" count="2">
    <dataValidation type="list" allowBlank="1" showInputMessage="1" showErrorMessage="1" errorTitle="Wrong value!" error="Only integer values between 0 and 5 allowed." prompt="Izaberite " sqref="C21" xr:uid="{00000000-0002-0000-1600-000000000000}">
      <formula1>$H$3:$H$9</formula1>
    </dataValidation>
    <dataValidation type="list" allowBlank="1" showInputMessage="1" showErrorMessage="1" error="Wrong input!" prompt="Provjerite da li je kriterij primjenjljiv" sqref="C9" xr:uid="{C27FCD11-ADE4-8A42-8D1E-86223522FD97}">
      <formula1>$I$3:$I$5</formula1>
    </dataValidation>
  </dataValidations>
  <pageMargins left="0.7" right="0.7" top="0.78740157499999996" bottom="0.78740157499999996"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Tabelle23"/>
  <dimension ref="A1:J25"/>
  <sheetViews>
    <sheetView showGridLines="0" zoomScaleNormal="100" workbookViewId="0">
      <selection activeCell="D38" sqref="D38"/>
    </sheetView>
  </sheetViews>
  <sheetFormatPr defaultColWidth="11" defaultRowHeight="15.75" outlineLevelCol="1" x14ac:dyDescent="0.25"/>
  <cols>
    <col min="1" max="2" width="3.875" style="80" customWidth="1"/>
    <col min="3" max="3" width="9.375" style="80" customWidth="1"/>
    <col min="4" max="4" width="74.625" style="80" customWidth="1"/>
    <col min="5" max="5" width="3.875" style="80" customWidth="1"/>
    <col min="6" max="7" width="10.875" style="80"/>
    <col min="8" max="8" width="0" style="80" hidden="1" customWidth="1" outlineLevel="1"/>
    <col min="9" max="9" width="0" style="80" hidden="1" customWidth="1" collapsed="1"/>
    <col min="10" max="10" width="10.875" style="80"/>
  </cols>
  <sheetData>
    <row r="1" spans="1:9" ht="16.5" thickBot="1" x14ac:dyDescent="0.3">
      <c r="A1" s="1"/>
      <c r="B1" s="1"/>
      <c r="C1" s="24"/>
      <c r="D1" s="1"/>
      <c r="E1" s="1"/>
    </row>
    <row r="2" spans="1:9" ht="17.100000000000001" customHeight="1" x14ac:dyDescent="0.25">
      <c r="A2" s="1"/>
      <c r="B2" s="6"/>
      <c r="C2" s="10"/>
      <c r="D2" s="11"/>
      <c r="E2" s="20"/>
      <c r="H2" s="80" t="s">
        <v>511</v>
      </c>
    </row>
    <row r="3" spans="1:9" ht="17.100000000000001" customHeight="1" x14ac:dyDescent="0.25">
      <c r="A3" s="1"/>
      <c r="B3" s="7"/>
      <c r="C3" s="796" t="s">
        <v>240</v>
      </c>
      <c r="D3" s="796"/>
      <c r="E3" s="30"/>
      <c r="H3" s="80">
        <v>1</v>
      </c>
      <c r="I3" s="80" t="s">
        <v>83</v>
      </c>
    </row>
    <row r="4" spans="1:9" ht="17.100000000000001" customHeight="1" thickBot="1" x14ac:dyDescent="0.3">
      <c r="A4" s="1"/>
      <c r="B4" s="31"/>
      <c r="C4" s="32"/>
      <c r="D4" s="32"/>
      <c r="E4" s="23"/>
      <c r="H4" s="80">
        <v>2</v>
      </c>
      <c r="I4" s="80" t="s">
        <v>84</v>
      </c>
    </row>
    <row r="5" spans="1:9" ht="17.100000000000001" customHeight="1" thickBot="1" x14ac:dyDescent="0.3">
      <c r="A5" s="1"/>
      <c r="B5" s="327"/>
      <c r="C5" s="502"/>
      <c r="D5" s="502"/>
      <c r="E5" s="327"/>
      <c r="H5" s="80">
        <v>3</v>
      </c>
      <c r="I5" s="80" t="s">
        <v>82</v>
      </c>
    </row>
    <row r="6" spans="1:9" ht="17.100000000000001" customHeight="1" x14ac:dyDescent="0.25">
      <c r="A6" s="1"/>
      <c r="B6" s="503"/>
      <c r="C6" s="504"/>
      <c r="D6" s="504"/>
      <c r="E6" s="505"/>
      <c r="H6" s="80">
        <v>4</v>
      </c>
    </row>
    <row r="7" spans="1:9" ht="17.100000000000001" customHeight="1" x14ac:dyDescent="0.25">
      <c r="A7" s="1"/>
      <c r="B7" s="332"/>
      <c r="C7" s="502" t="s">
        <v>232</v>
      </c>
      <c r="D7" s="502"/>
      <c r="E7" s="506"/>
      <c r="H7" s="80">
        <v>5</v>
      </c>
    </row>
    <row r="8" spans="1:9" ht="9.9499999999999993" customHeight="1" thickBot="1" x14ac:dyDescent="0.3">
      <c r="A8" s="1"/>
      <c r="B8" s="332"/>
      <c r="C8" s="502"/>
      <c r="D8" s="502"/>
      <c r="E8" s="506"/>
      <c r="H8" s="80" t="s">
        <v>82</v>
      </c>
    </row>
    <row r="9" spans="1:9" ht="33.950000000000003" customHeight="1" thickBot="1" x14ac:dyDescent="0.3">
      <c r="A9" s="1"/>
      <c r="B9" s="332"/>
      <c r="C9" s="585" t="s">
        <v>82</v>
      </c>
      <c r="D9" s="70" t="s">
        <v>241</v>
      </c>
      <c r="E9" s="506"/>
    </row>
    <row r="10" spans="1:9" ht="17.100000000000001" customHeight="1" thickBot="1" x14ac:dyDescent="0.3">
      <c r="A10" s="1"/>
      <c r="B10" s="334"/>
      <c r="C10" s="507"/>
      <c r="D10" s="507"/>
      <c r="E10" s="508"/>
    </row>
    <row r="11" spans="1:9" ht="17.100000000000001" customHeight="1" thickBot="1" x14ac:dyDescent="0.3">
      <c r="A11" s="1"/>
      <c r="B11" s="1"/>
      <c r="C11" s="26"/>
      <c r="D11" s="26"/>
      <c r="E11" s="1"/>
    </row>
    <row r="12" spans="1:9" ht="17.100000000000001" customHeight="1" thickBot="1" x14ac:dyDescent="0.3">
      <c r="A12" s="1"/>
      <c r="B12" s="6"/>
      <c r="C12" s="10"/>
      <c r="D12" s="11"/>
      <c r="E12" s="20"/>
    </row>
    <row r="13" spans="1:9" ht="17.100000000000001" customHeight="1" thickBot="1" x14ac:dyDescent="0.3">
      <c r="A13" s="2"/>
      <c r="B13" s="8"/>
      <c r="C13" s="106" t="s">
        <v>493</v>
      </c>
      <c r="D13" s="108" t="s">
        <v>25</v>
      </c>
      <c r="E13" s="22"/>
    </row>
    <row r="14" spans="1:9" ht="33.950000000000003" customHeight="1" thickBot="1" x14ac:dyDescent="0.35">
      <c r="A14" s="1"/>
      <c r="B14" s="7"/>
      <c r="C14" s="110">
        <v>0</v>
      </c>
      <c r="D14" s="111" t="s">
        <v>212</v>
      </c>
      <c r="E14" s="21"/>
      <c r="H14" s="133"/>
    </row>
    <row r="15" spans="1:9" ht="33.950000000000003" customHeight="1" thickBot="1" x14ac:dyDescent="0.3">
      <c r="A15" s="1"/>
      <c r="B15" s="7"/>
      <c r="C15" s="110">
        <v>1</v>
      </c>
      <c r="D15" s="111" t="s">
        <v>213</v>
      </c>
      <c r="E15" s="21"/>
    </row>
    <row r="16" spans="1:9" ht="33.950000000000003" customHeight="1" thickBot="1" x14ac:dyDescent="0.3">
      <c r="A16" s="1"/>
      <c r="B16" s="7"/>
      <c r="C16" s="110">
        <v>2</v>
      </c>
      <c r="D16" s="111" t="s">
        <v>214</v>
      </c>
      <c r="E16" s="21"/>
    </row>
    <row r="17" spans="1:5" ht="33.950000000000003" customHeight="1" thickBot="1" x14ac:dyDescent="0.3">
      <c r="A17" s="1"/>
      <c r="B17" s="7"/>
      <c r="C17" s="110">
        <v>3</v>
      </c>
      <c r="D17" s="111" t="s">
        <v>215</v>
      </c>
      <c r="E17" s="21"/>
    </row>
    <row r="18" spans="1:5" ht="33.950000000000003" customHeight="1" thickBot="1" x14ac:dyDescent="0.3">
      <c r="A18" s="1"/>
      <c r="B18" s="7"/>
      <c r="C18" s="110">
        <v>4</v>
      </c>
      <c r="D18" s="111" t="s">
        <v>216</v>
      </c>
      <c r="E18" s="21"/>
    </row>
    <row r="19" spans="1:5" ht="33.950000000000003" customHeight="1" thickBot="1" x14ac:dyDescent="0.3">
      <c r="A19" s="1"/>
      <c r="B19" s="7"/>
      <c r="C19" s="109">
        <v>5</v>
      </c>
      <c r="D19" s="107" t="s">
        <v>217</v>
      </c>
      <c r="E19" s="21"/>
    </row>
    <row r="20" spans="1:5" ht="17.100000000000001" customHeight="1" thickBot="1" x14ac:dyDescent="0.3">
      <c r="A20" s="1"/>
      <c r="B20" s="7"/>
      <c r="C20" s="37"/>
      <c r="D20" s="37"/>
      <c r="E20" s="21"/>
    </row>
    <row r="21" spans="1:5" ht="33.950000000000003" customHeight="1" thickBot="1" x14ac:dyDescent="0.3">
      <c r="A21" s="1"/>
      <c r="B21" s="7"/>
      <c r="C21" s="694" t="s">
        <v>82</v>
      </c>
      <c r="D21" s="112" t="s">
        <v>494</v>
      </c>
      <c r="E21" s="21"/>
    </row>
    <row r="22" spans="1:5" ht="16.5" thickBot="1" x14ac:dyDescent="0.3">
      <c r="A22" s="1"/>
      <c r="B22" s="31"/>
      <c r="C22" s="41"/>
      <c r="D22" s="19"/>
      <c r="E22" s="23"/>
    </row>
    <row r="23" spans="1:5" ht="18" x14ac:dyDescent="0.25">
      <c r="A23" s="1"/>
      <c r="B23" s="1"/>
      <c r="C23" s="26"/>
      <c r="D23" s="26"/>
      <c r="E23" s="1"/>
    </row>
    <row r="24" spans="1:5" ht="32.1" customHeight="1" x14ac:dyDescent="0.25">
      <c r="C24" s="134" t="str">
        <f>IF(C9=I4,"Kriterij nije primjenjiv - težinski udio kriterija se ravnomjerno raspoređuje na ostale kriterije u ovoj stručnoj oblasti!","")</f>
        <v/>
      </c>
    </row>
    <row r="25" spans="1:5" ht="23.25" x14ac:dyDescent="0.35">
      <c r="B25" s="84"/>
    </row>
  </sheetData>
  <sheetProtection algorithmName="SHA-512" hashValue="oOzOPk6uYM9NEYxOLjom3BoNFiL51FIvt6+88agFPd6vuUX4mHHJGMhWv/BPkXNsrbCsNbTWIJX5i1ug518SQA==" saltValue="osGCB7CWfQty0/tmMpSVxQ==" spinCount="100000" sheet="1" objects="1" scenarios="1"/>
  <mergeCells count="1">
    <mergeCell ref="C3:D3"/>
  </mergeCells>
  <conditionalFormatting sqref="C21">
    <cfRule type="expression" dxfId="216" priority="1">
      <formula>$C$21&lt;&gt;$H$8</formula>
    </cfRule>
  </conditionalFormatting>
  <dataValidations count="2">
    <dataValidation type="list" allowBlank="1" showInputMessage="1" showErrorMessage="1" errorTitle="Wrong value!" error="Only integer values between 0 and 5 allowed." prompt="Izaberite " sqref="C21" xr:uid="{00000000-0002-0000-1700-000000000000}">
      <formula1>$H$3:$H$8</formula1>
    </dataValidation>
    <dataValidation type="list" allowBlank="1" showInputMessage="1" showErrorMessage="1" error="Wrong input!" prompt="Provjerite da li je kriterij primjenjljiv" sqref="C9" xr:uid="{848CE302-B205-954E-8D49-B7651ADE2E25}">
      <formula1>$I$3:$I$5</formula1>
    </dataValidation>
  </dataValidations>
  <pageMargins left="0.7" right="0.7" top="0.78740157499999996" bottom="0.78740157499999996"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Tabelle24"/>
  <dimension ref="A1:J26"/>
  <sheetViews>
    <sheetView showGridLines="0" zoomScaleNormal="100" workbookViewId="0">
      <selection activeCell="D22" sqref="D22"/>
    </sheetView>
  </sheetViews>
  <sheetFormatPr defaultColWidth="11" defaultRowHeight="15.75" outlineLevelCol="1" x14ac:dyDescent="0.25"/>
  <cols>
    <col min="1" max="2" width="3.875" style="80" customWidth="1"/>
    <col min="3" max="3" width="9.375" style="80" customWidth="1"/>
    <col min="4" max="4" width="74.625" style="80" customWidth="1"/>
    <col min="5" max="5" width="3.875" style="80" customWidth="1"/>
    <col min="6" max="7" width="10.875" style="80"/>
    <col min="8" max="8" width="0" style="80" hidden="1" customWidth="1" outlineLevel="1"/>
    <col min="9" max="9" width="10.875" style="80" collapsed="1"/>
    <col min="10" max="10" width="10.875" style="80"/>
  </cols>
  <sheetData>
    <row r="1" spans="1:8" s="80" customFormat="1" thickBot="1" x14ac:dyDescent="0.25">
      <c r="A1" s="1"/>
      <c r="B1" s="1"/>
      <c r="C1" s="24"/>
      <c r="D1" s="1"/>
      <c r="E1" s="1"/>
    </row>
    <row r="2" spans="1:8" s="80" customFormat="1" ht="17.100000000000001" customHeight="1" x14ac:dyDescent="0.2">
      <c r="A2" s="1"/>
      <c r="B2" s="6"/>
      <c r="C2" s="10"/>
      <c r="D2" s="11"/>
      <c r="E2" s="20"/>
      <c r="H2" s="80" t="s">
        <v>511</v>
      </c>
    </row>
    <row r="3" spans="1:8" s="80" customFormat="1" ht="17.100000000000001" customHeight="1" x14ac:dyDescent="0.2">
      <c r="A3" s="1"/>
      <c r="B3" s="7"/>
      <c r="C3" s="796" t="s">
        <v>490</v>
      </c>
      <c r="D3" s="796"/>
      <c r="E3" s="30"/>
      <c r="H3" s="80">
        <v>1</v>
      </c>
    </row>
    <row r="4" spans="1:8" s="80" customFormat="1" ht="17.100000000000001" customHeight="1" thickBot="1" x14ac:dyDescent="0.25">
      <c r="A4" s="1"/>
      <c r="B4" s="31"/>
      <c r="C4" s="32"/>
      <c r="D4" s="32"/>
      <c r="E4" s="23"/>
      <c r="H4" s="80">
        <v>2</v>
      </c>
    </row>
    <row r="5" spans="1:8" s="80" customFormat="1" ht="17.100000000000001" customHeight="1" thickBot="1" x14ac:dyDescent="0.25">
      <c r="A5" s="1"/>
      <c r="B5" s="1"/>
      <c r="C5" s="26"/>
      <c r="D5" s="26"/>
      <c r="E5" s="1"/>
      <c r="H5" s="80">
        <v>3</v>
      </c>
    </row>
    <row r="6" spans="1:8" s="80" customFormat="1" ht="17.100000000000001" customHeight="1" thickBot="1" x14ac:dyDescent="0.25">
      <c r="A6" s="1"/>
      <c r="B6" s="6"/>
      <c r="C6" s="10"/>
      <c r="D6" s="11"/>
      <c r="E6" s="20"/>
      <c r="H6" s="80">
        <v>4</v>
      </c>
    </row>
    <row r="7" spans="1:8" s="80" customFormat="1" ht="17.100000000000001" customHeight="1" thickBot="1" x14ac:dyDescent="0.25">
      <c r="A7" s="2"/>
      <c r="B7" s="8"/>
      <c r="C7" s="106" t="s">
        <v>493</v>
      </c>
      <c r="D7" s="108" t="s">
        <v>242</v>
      </c>
      <c r="E7" s="22"/>
      <c r="H7" s="80">
        <v>5</v>
      </c>
    </row>
    <row r="8" spans="1:8" s="80" customFormat="1" ht="33.950000000000003" customHeight="1" thickBot="1" x14ac:dyDescent="0.25">
      <c r="A8" s="1"/>
      <c r="B8" s="7"/>
      <c r="C8" s="110">
        <v>0</v>
      </c>
      <c r="D8" s="111" t="s">
        <v>212</v>
      </c>
      <c r="E8" s="21"/>
      <c r="H8" s="80" t="s">
        <v>82</v>
      </c>
    </row>
    <row r="9" spans="1:8" s="80" customFormat="1" ht="33.950000000000003" customHeight="1" thickBot="1" x14ac:dyDescent="0.25">
      <c r="A9" s="1"/>
      <c r="B9" s="7"/>
      <c r="C9" s="110">
        <v>1</v>
      </c>
      <c r="D9" s="111" t="s">
        <v>20</v>
      </c>
      <c r="E9" s="21"/>
    </row>
    <row r="10" spans="1:8" s="80" customFormat="1" ht="33.950000000000003" customHeight="1" thickBot="1" x14ac:dyDescent="0.25">
      <c r="A10" s="1"/>
      <c r="B10" s="7"/>
      <c r="C10" s="110">
        <v>2</v>
      </c>
      <c r="D10" s="111" t="s">
        <v>21</v>
      </c>
      <c r="E10" s="21"/>
    </row>
    <row r="11" spans="1:8" s="80" customFormat="1" ht="33.950000000000003" customHeight="1" thickBot="1" x14ac:dyDescent="0.25">
      <c r="A11" s="1"/>
      <c r="B11" s="7"/>
      <c r="C11" s="110">
        <v>3</v>
      </c>
      <c r="D11" s="111" t="s">
        <v>22</v>
      </c>
      <c r="E11" s="21"/>
    </row>
    <row r="12" spans="1:8" s="80" customFormat="1" ht="33.950000000000003" customHeight="1" thickBot="1" x14ac:dyDescent="0.25">
      <c r="A12" s="1"/>
      <c r="B12" s="7"/>
      <c r="C12" s="110">
        <v>4</v>
      </c>
      <c r="D12" s="111" t="s">
        <v>23</v>
      </c>
      <c r="E12" s="21"/>
    </row>
    <row r="13" spans="1:8" s="80" customFormat="1" ht="33.950000000000003" customHeight="1" thickBot="1" x14ac:dyDescent="0.25">
      <c r="A13" s="1"/>
      <c r="B13" s="7"/>
      <c r="C13" s="109">
        <v>5</v>
      </c>
      <c r="D13" s="107" t="s">
        <v>24</v>
      </c>
      <c r="E13" s="21"/>
    </row>
    <row r="14" spans="1:8" s="80" customFormat="1" ht="17.100000000000001" customHeight="1" thickBot="1" x14ac:dyDescent="0.25">
      <c r="A14" s="1"/>
      <c r="B14" s="7"/>
      <c r="C14" s="37"/>
      <c r="D14" s="37"/>
      <c r="E14" s="21"/>
    </row>
    <row r="15" spans="1:8" s="80" customFormat="1" ht="33.950000000000003" customHeight="1" thickBot="1" x14ac:dyDescent="0.25">
      <c r="A15" s="1"/>
      <c r="B15" s="7"/>
      <c r="C15" s="694" t="s">
        <v>82</v>
      </c>
      <c r="D15" s="112" t="s">
        <v>494</v>
      </c>
      <c r="E15" s="21"/>
    </row>
    <row r="16" spans="1:8" s="80" customFormat="1" thickBot="1" x14ac:dyDescent="0.25">
      <c r="A16" s="1"/>
      <c r="B16" s="31"/>
      <c r="C16" s="41"/>
      <c r="D16" s="19"/>
      <c r="E16" s="23"/>
    </row>
    <row r="17" spans="1:5" s="80" customFormat="1" ht="18" x14ac:dyDescent="0.2">
      <c r="A17" s="1"/>
      <c r="B17" s="1"/>
      <c r="C17" s="26"/>
      <c r="D17" s="26"/>
      <c r="E17" s="1"/>
    </row>
    <row r="18" spans="1:5" ht="28.5" x14ac:dyDescent="0.25">
      <c r="D18" s="714" t="s">
        <v>243</v>
      </c>
    </row>
    <row r="19" spans="1:5" s="80" customFormat="1" ht="23.25" x14ac:dyDescent="0.35">
      <c r="B19" s="84"/>
    </row>
    <row r="21" spans="1:5" s="80" customFormat="1" ht="15" x14ac:dyDescent="0.2"/>
    <row r="22" spans="1:5" s="80" customFormat="1" ht="15" x14ac:dyDescent="0.2"/>
    <row r="23" spans="1:5" s="80" customFormat="1" ht="15" x14ac:dyDescent="0.2"/>
    <row r="24" spans="1:5" s="80" customFormat="1" ht="15" x14ac:dyDescent="0.2"/>
    <row r="25" spans="1:5" s="80" customFormat="1" ht="15" x14ac:dyDescent="0.2"/>
    <row r="26" spans="1:5" s="80" customFormat="1" ht="15" x14ac:dyDescent="0.2"/>
  </sheetData>
  <sheetProtection algorithmName="SHA-512" hashValue="0DYGObThkmc7i844ykmty7W0eGssRO6muuNhoaWfxHfWxhUd9n97+lQ3yU2tXHDfClJXjig0RBZ45f1jXErTzg==" saltValue="WZuAYQLbzVEluEbiIzQ3xg==" spinCount="100000" sheet="1" objects="1" scenarios="1"/>
  <mergeCells count="1">
    <mergeCell ref="C3:D3"/>
  </mergeCells>
  <conditionalFormatting sqref="C15">
    <cfRule type="expression" dxfId="215" priority="1">
      <formula>$C$15&lt;&gt;$H$8</formula>
    </cfRule>
  </conditionalFormatting>
  <dataValidations count="1">
    <dataValidation type="list" allowBlank="1" showInputMessage="1" showErrorMessage="1" errorTitle="Wrong value!" error="Only integer values between 0 and 5 allowed." prompt="Izaberite " sqref="C15" xr:uid="{00000000-0002-0000-1900-000000000000}">
      <formula1>$H$3:$H$8</formula1>
    </dataValidation>
  </dataValidation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Tabelle25"/>
  <dimension ref="B1:AD27"/>
  <sheetViews>
    <sheetView showGridLines="0" zoomScaleNormal="100" workbookViewId="0">
      <selection activeCell="R21" sqref="R21"/>
    </sheetView>
  </sheetViews>
  <sheetFormatPr defaultColWidth="10.875" defaultRowHeight="15" outlineLevelCol="1" x14ac:dyDescent="0.2"/>
  <cols>
    <col min="1" max="2" width="3.875" style="80" customWidth="1"/>
    <col min="3" max="3" width="24.5" style="80" customWidth="1"/>
    <col min="4" max="4" width="13.125" style="80" customWidth="1"/>
    <col min="5" max="5" width="10.875" style="80" customWidth="1"/>
    <col min="6" max="6" width="12.375" style="80" customWidth="1"/>
    <col min="7" max="7" width="2.875" style="80" customWidth="1"/>
    <col min="8" max="8" width="10.875" style="80"/>
    <col min="9" max="9" width="4" style="80" customWidth="1"/>
    <col min="10" max="12" width="10.875" style="80"/>
    <col min="13" max="14" width="10.875" style="80" hidden="1" customWidth="1" outlineLevel="1"/>
    <col min="15" max="15" width="10.875" style="80" collapsed="1"/>
    <col min="16" max="16384" width="10.875" style="80"/>
  </cols>
  <sheetData>
    <row r="1" spans="2:30" ht="15.75" thickBot="1" x14ac:dyDescent="0.25"/>
    <row r="2" spans="2:30" x14ac:dyDescent="0.2">
      <c r="B2" s="845" t="s">
        <v>244</v>
      </c>
      <c r="C2" s="846"/>
      <c r="D2" s="846"/>
      <c r="E2" s="846"/>
      <c r="F2" s="846"/>
      <c r="G2" s="846"/>
      <c r="H2" s="846"/>
      <c r="I2" s="847"/>
    </row>
    <row r="3" spans="2:30" ht="15.75" x14ac:dyDescent="0.25">
      <c r="B3" s="848"/>
      <c r="C3" s="832"/>
      <c r="D3" s="832"/>
      <c r="E3" s="832"/>
      <c r="F3" s="832"/>
      <c r="G3" s="832"/>
      <c r="H3" s="832"/>
      <c r="I3" s="849"/>
      <c r="M3" s="641"/>
    </row>
    <row r="4" spans="2:30" ht="15.75" thickBot="1" x14ac:dyDescent="0.25">
      <c r="B4" s="850"/>
      <c r="C4" s="851"/>
      <c r="D4" s="851"/>
      <c r="E4" s="851"/>
      <c r="F4" s="851"/>
      <c r="G4" s="851"/>
      <c r="H4" s="851"/>
      <c r="I4" s="852"/>
      <c r="M4" s="712" t="s">
        <v>82</v>
      </c>
      <c r="N4" s="671"/>
      <c r="O4" s="671"/>
      <c r="P4" s="671"/>
      <c r="Q4" s="671"/>
      <c r="R4" s="671"/>
      <c r="S4" s="671"/>
      <c r="T4" s="671"/>
      <c r="U4" s="671"/>
      <c r="V4" s="671"/>
      <c r="W4" s="671"/>
      <c r="X4" s="671"/>
      <c r="Y4" s="671"/>
      <c r="Z4" s="671"/>
      <c r="AA4" s="671"/>
      <c r="AB4" s="671"/>
      <c r="AC4" s="671"/>
      <c r="AD4" s="671"/>
    </row>
    <row r="5" spans="2:30" ht="15.75" thickBot="1" x14ac:dyDescent="0.25">
      <c r="M5" s="712" t="s">
        <v>199</v>
      </c>
      <c r="N5" s="671"/>
      <c r="O5" s="670"/>
      <c r="P5" s="671"/>
      <c r="Q5" s="671"/>
      <c r="R5" s="671"/>
      <c r="S5" s="671"/>
      <c r="T5" s="671"/>
      <c r="U5" s="671"/>
      <c r="V5" s="671"/>
      <c r="W5" s="671"/>
      <c r="X5" s="671"/>
      <c r="Y5" s="671"/>
      <c r="Z5" s="671"/>
      <c r="AA5" s="671"/>
      <c r="AB5" s="671"/>
      <c r="AC5" s="671"/>
      <c r="AD5" s="671"/>
    </row>
    <row r="6" spans="2:30" ht="15.75" thickBot="1" x14ac:dyDescent="0.25">
      <c r="B6" s="6"/>
      <c r="C6" s="11"/>
      <c r="D6" s="10"/>
      <c r="E6" s="10"/>
      <c r="F6" s="11"/>
      <c r="G6" s="242"/>
      <c r="H6" s="242"/>
      <c r="I6" s="243"/>
      <c r="M6" s="712" t="s">
        <v>84</v>
      </c>
      <c r="N6" s="671"/>
      <c r="O6" s="670"/>
      <c r="P6" s="671"/>
      <c r="Q6" s="671"/>
      <c r="R6" s="671"/>
      <c r="S6" s="671"/>
      <c r="T6" s="671"/>
      <c r="U6" s="671"/>
      <c r="V6" s="671"/>
      <c r="W6" s="671"/>
      <c r="X6" s="671"/>
      <c r="Y6" s="671"/>
      <c r="Z6" s="671"/>
      <c r="AA6" s="671"/>
      <c r="AB6" s="671"/>
      <c r="AC6" s="671"/>
      <c r="AD6" s="671"/>
    </row>
    <row r="7" spans="2:30" ht="48" thickBot="1" x14ac:dyDescent="0.25">
      <c r="B7" s="7"/>
      <c r="C7" s="62" t="s">
        <v>79</v>
      </c>
      <c r="D7" s="63" t="s">
        <v>498</v>
      </c>
      <c r="E7" s="659" t="s">
        <v>245</v>
      </c>
      <c r="F7" s="63" t="s">
        <v>146</v>
      </c>
      <c r="G7" s="46"/>
      <c r="H7" s="510" t="s">
        <v>246</v>
      </c>
      <c r="I7" s="49"/>
      <c r="M7" s="843" t="s">
        <v>62</v>
      </c>
      <c r="N7" s="844"/>
    </row>
    <row r="8" spans="2:30" ht="17.100000000000001" customHeight="1" x14ac:dyDescent="0.2">
      <c r="B8" s="8"/>
      <c r="C8" s="77" t="s">
        <v>247</v>
      </c>
      <c r="D8" s="693" t="str">
        <f>'PP1 - PP dokumentacija'!C15</f>
        <v>Izaberite</v>
      </c>
      <c r="E8" s="78">
        <f>N8</f>
        <v>0.20000000000000004</v>
      </c>
      <c r="F8" s="79" t="str">
        <f>IF(ISNUMBER(D8),E8*D8,"")</f>
        <v/>
      </c>
      <c r="G8" s="416">
        <f t="shared" ref="G8:G15" si="0">IF(D8=$M$4,0,1)</f>
        <v>0</v>
      </c>
      <c r="H8" s="516">
        <v>0.2</v>
      </c>
      <c r="I8" s="49"/>
      <c r="M8" s="511">
        <f>IF(D8&lt;&gt;"",H8,0%)</f>
        <v>0.2</v>
      </c>
      <c r="N8" s="78">
        <f t="shared" ref="N8:N15" si="1">M8/$M$16</f>
        <v>0.20000000000000004</v>
      </c>
    </row>
    <row r="9" spans="2:30" ht="17.100000000000001" customHeight="1" x14ac:dyDescent="0.2">
      <c r="B9" s="7"/>
      <c r="C9" s="77" t="s">
        <v>248</v>
      </c>
      <c r="D9" s="693" t="str">
        <f>'PP2 - Direktno korištenje t.v.'!C15</f>
        <v>Izaberite</v>
      </c>
      <c r="E9" s="78">
        <f>N9</f>
        <v>0.20000000000000004</v>
      </c>
      <c r="F9" s="79" t="str">
        <f t="shared" ref="F9:F15" si="2">IF(ISNUMBER(D9),E9*D9,"")</f>
        <v/>
      </c>
      <c r="G9" s="416">
        <f t="shared" si="0"/>
        <v>0</v>
      </c>
      <c r="H9" s="516">
        <v>0.2</v>
      </c>
      <c r="I9" s="49"/>
      <c r="M9" s="511">
        <f>IF(D9&lt;&gt;"",H9,0%)</f>
        <v>0.2</v>
      </c>
      <c r="N9" s="78">
        <f t="shared" si="1"/>
        <v>0.20000000000000004</v>
      </c>
    </row>
    <row r="10" spans="2:30" ht="17.100000000000001" customHeight="1" x14ac:dyDescent="0.2">
      <c r="B10" s="7"/>
      <c r="C10" s="77" t="s">
        <v>249</v>
      </c>
      <c r="D10" s="693" t="str">
        <f>'PP3 - Infrastruktura'!C15</f>
        <v>Izaberite</v>
      </c>
      <c r="E10" s="78">
        <f>N10</f>
        <v>0.10000000000000002</v>
      </c>
      <c r="F10" s="79" t="str">
        <f t="shared" si="2"/>
        <v/>
      </c>
      <c r="G10" s="416">
        <f t="shared" si="0"/>
        <v>0</v>
      </c>
      <c r="H10" s="516">
        <v>0.1</v>
      </c>
      <c r="I10" s="49"/>
      <c r="M10" s="511">
        <f>IF(D10&lt;&gt;"",H10,0%)</f>
        <v>0.1</v>
      </c>
      <c r="N10" s="78">
        <f t="shared" si="1"/>
        <v>0.10000000000000002</v>
      </c>
    </row>
    <row r="11" spans="2:30" x14ac:dyDescent="0.2">
      <c r="B11" s="7"/>
      <c r="C11" s="77" t="s">
        <v>250</v>
      </c>
      <c r="D11" s="693" t="str">
        <f>'PP4 - Poljoprivreda'!C15</f>
        <v>Izaberite</v>
      </c>
      <c r="E11" s="78">
        <f>N11</f>
        <v>0.10000000000000002</v>
      </c>
      <c r="F11" s="79" t="str">
        <f t="shared" si="2"/>
        <v/>
      </c>
      <c r="G11" s="416">
        <f t="shared" si="0"/>
        <v>0</v>
      </c>
      <c r="H11" s="516">
        <v>0.1</v>
      </c>
      <c r="I11" s="49"/>
      <c r="M11" s="511">
        <f>IF(D11&lt;&gt;"",H11,0%)</f>
        <v>0.1</v>
      </c>
      <c r="N11" s="78">
        <f t="shared" si="1"/>
        <v>0.10000000000000002</v>
      </c>
    </row>
    <row r="12" spans="2:30" x14ac:dyDescent="0.2">
      <c r="B12" s="7"/>
      <c r="C12" s="77" t="s">
        <v>251</v>
      </c>
      <c r="D12" s="693" t="str">
        <f>'PP5 - Šumarstvo'!C15</f>
        <v>Izaberite</v>
      </c>
      <c r="E12" s="78">
        <f>N12</f>
        <v>0.10000000000000002</v>
      </c>
      <c r="F12" s="79" t="str">
        <f t="shared" si="2"/>
        <v/>
      </c>
      <c r="G12" s="416">
        <f t="shared" si="0"/>
        <v>0</v>
      </c>
      <c r="H12" s="516">
        <v>0.1</v>
      </c>
      <c r="I12" s="49"/>
      <c r="M12" s="511">
        <f>IF(D12&lt;&gt;"",H12,0%)</f>
        <v>0.1</v>
      </c>
      <c r="N12" s="78">
        <f t="shared" si="1"/>
        <v>0.10000000000000002</v>
      </c>
    </row>
    <row r="13" spans="2:30" x14ac:dyDescent="0.2">
      <c r="B13" s="7"/>
      <c r="C13" s="77" t="s">
        <v>252</v>
      </c>
      <c r="D13" s="693" t="str">
        <f>IF('PP6 - Kulturna dobra'!C9=M6,M5,'PP6 - Kulturna dobra'!C21)</f>
        <v>Izaberite</v>
      </c>
      <c r="E13" s="78">
        <f>IF(D13=M5,"",N13)</f>
        <v>0.10000000000000002</v>
      </c>
      <c r="F13" s="79" t="str">
        <f>IF(ISNUMBER(D13),E13*D13,"")</f>
        <v/>
      </c>
      <c r="G13" s="416">
        <f>IF(D13=$M$4,0,1)</f>
        <v>0</v>
      </c>
      <c r="H13" s="516">
        <v>0.1</v>
      </c>
      <c r="I13" s="49"/>
      <c r="M13" s="511">
        <f>IF(D13=M5,0%,H13)</f>
        <v>0.1</v>
      </c>
      <c r="N13" s="78">
        <f t="shared" si="1"/>
        <v>0.10000000000000002</v>
      </c>
    </row>
    <row r="14" spans="2:30" x14ac:dyDescent="0.2">
      <c r="B14" s="7"/>
      <c r="C14" s="77" t="s">
        <v>253</v>
      </c>
      <c r="D14" s="693" t="str">
        <f>IF('PP7 - Turizam'!C9=M6,M5,'PP7 - Turizam'!C21)</f>
        <v>Izaberite</v>
      </c>
      <c r="E14" s="78">
        <f>IF(D14=M5,"",N14)</f>
        <v>0.10000000000000002</v>
      </c>
      <c r="F14" s="79" t="str">
        <f t="shared" si="2"/>
        <v/>
      </c>
      <c r="G14" s="416">
        <f t="shared" si="0"/>
        <v>0</v>
      </c>
      <c r="H14" s="516">
        <v>0.1</v>
      </c>
      <c r="I14" s="49"/>
      <c r="M14" s="511">
        <f>IF(D14=M5,0%,H14)</f>
        <v>0.1</v>
      </c>
      <c r="N14" s="78">
        <f t="shared" si="1"/>
        <v>0.10000000000000002</v>
      </c>
    </row>
    <row r="15" spans="2:30" ht="15.75" thickBot="1" x14ac:dyDescent="0.25">
      <c r="B15" s="7"/>
      <c r="C15" s="77" t="s">
        <v>491</v>
      </c>
      <c r="D15" s="693" t="str">
        <f>'PP8 - Lokalna privreda'!C15</f>
        <v>Izaberite</v>
      </c>
      <c r="E15" s="78">
        <f>N15</f>
        <v>0.10000000000000002</v>
      </c>
      <c r="F15" s="79" t="str">
        <f t="shared" si="2"/>
        <v/>
      </c>
      <c r="G15" s="416">
        <f t="shared" si="0"/>
        <v>0</v>
      </c>
      <c r="H15" s="517">
        <v>0.1</v>
      </c>
      <c r="I15" s="49"/>
      <c r="M15" s="512">
        <f>IF(D15&lt;&gt;"",H15,0%)</f>
        <v>0.1</v>
      </c>
      <c r="N15" s="513">
        <f t="shared" si="1"/>
        <v>0.10000000000000002</v>
      </c>
    </row>
    <row r="16" spans="2:30" ht="16.5" thickBot="1" x14ac:dyDescent="0.25">
      <c r="B16" s="8"/>
      <c r="C16" s="81" t="s">
        <v>254</v>
      </c>
      <c r="D16" s="83"/>
      <c r="E16" s="509">
        <f>SUM(E8:E15)</f>
        <v>1</v>
      </c>
      <c r="F16" s="695" t="str">
        <f>IF(SUM(G8:G15)=8,SUM(F8:F15),"")</f>
        <v/>
      </c>
      <c r="G16" s="46"/>
      <c r="H16" s="514">
        <f>SUM(H8:H15)</f>
        <v>0.99999999999999989</v>
      </c>
      <c r="I16" s="49"/>
      <c r="M16" s="514">
        <f>SUM(M8:M15)</f>
        <v>0.99999999999999989</v>
      </c>
      <c r="N16" s="515">
        <f>SUM(N8:N15)</f>
        <v>1</v>
      </c>
    </row>
    <row r="17" spans="2:12" ht="15.75" thickBot="1" x14ac:dyDescent="0.25">
      <c r="B17" s="31"/>
      <c r="C17" s="18"/>
      <c r="D17" s="18"/>
      <c r="E17" s="18"/>
      <c r="F17" s="18"/>
      <c r="G17" s="51"/>
      <c r="H17" s="51"/>
      <c r="I17" s="205"/>
    </row>
    <row r="19" spans="2:12" x14ac:dyDescent="0.2">
      <c r="D19" s="520" t="str">
        <f>IF(F16="","-",(F16*(5/4)-(5/4))/5)</f>
        <v>-</v>
      </c>
      <c r="E19" s="80" t="s">
        <v>257</v>
      </c>
    </row>
    <row r="20" spans="2:12" ht="15.75" thickBot="1" x14ac:dyDescent="0.25"/>
    <row r="21" spans="2:12" x14ac:dyDescent="0.2">
      <c r="B21" s="241"/>
      <c r="C21" s="242"/>
      <c r="D21" s="242"/>
      <c r="E21" s="242"/>
      <c r="F21" s="242"/>
      <c r="G21" s="242"/>
      <c r="H21" s="242"/>
      <c r="I21" s="243"/>
      <c r="L21" s="676"/>
    </row>
    <row r="22" spans="2:12" ht="15.75" x14ac:dyDescent="0.2">
      <c r="B22" s="45"/>
      <c r="C22" s="34" t="s">
        <v>255</v>
      </c>
      <c r="D22" s="34"/>
      <c r="E22" s="46"/>
      <c r="F22" s="46"/>
      <c r="G22" s="46"/>
      <c r="H22" s="46"/>
      <c r="I22" s="49"/>
    </row>
    <row r="23" spans="2:12" ht="9.9499999999999993" customHeight="1" thickBot="1" x14ac:dyDescent="0.25">
      <c r="B23" s="45"/>
      <c r="C23" s="46"/>
      <c r="D23" s="46"/>
      <c r="E23" s="46"/>
      <c r="F23" s="46"/>
      <c r="G23" s="46"/>
      <c r="H23" s="46"/>
      <c r="I23" s="49"/>
    </row>
    <row r="24" spans="2:12" ht="33.950000000000003" customHeight="1" thickBot="1" x14ac:dyDescent="0.25">
      <c r="B24" s="45"/>
      <c r="C24" s="839" t="s">
        <v>256</v>
      </c>
      <c r="D24" s="840"/>
      <c r="E24" s="841" t="str">
        <f>IF(F16&lt;&gt;"",F16*(5/4)-(5/4),"")</f>
        <v/>
      </c>
      <c r="F24" s="842"/>
      <c r="G24" s="46"/>
      <c r="H24" s="46"/>
      <c r="I24" s="49"/>
    </row>
    <row r="25" spans="2:12" ht="15.75" thickBot="1" x14ac:dyDescent="0.25">
      <c r="B25" s="204"/>
      <c r="C25" s="51"/>
      <c r="D25" s="51"/>
      <c r="E25" s="51"/>
      <c r="F25" s="51"/>
      <c r="G25" s="51"/>
      <c r="H25" s="51"/>
      <c r="I25" s="205"/>
    </row>
    <row r="27" spans="2:12" x14ac:dyDescent="0.2">
      <c r="B27" s="670"/>
      <c r="C27" s="671"/>
      <c r="D27" s="689"/>
      <c r="E27" s="671"/>
      <c r="F27" s="671"/>
    </row>
  </sheetData>
  <sheetProtection algorithmName="SHA-512" hashValue="dR0Idtt7pzUxx5/uxgD2m9avgowFsG68dPkzMXwSrMZJ31kgMOiv1s1IG1F0+IdzH+JDpqfQ1LyyOXdO4P416g==" saltValue="Fv2R+HwXg6RRjuCL1pP2kg==" spinCount="100000" sheet="1" objects="1" scenarios="1"/>
  <mergeCells count="4">
    <mergeCell ref="C24:D24"/>
    <mergeCell ref="E24:F24"/>
    <mergeCell ref="M7:N7"/>
    <mergeCell ref="B2:I4"/>
  </mergeCells>
  <conditionalFormatting sqref="D8:D15">
    <cfRule type="containsText" dxfId="214" priority="1" operator="containsText" text="Izaberite">
      <formula>NOT(ISERROR(SEARCH("Izaberite",D8)))</formula>
    </cfRule>
  </conditionalFormatting>
  <pageMargins left="0.7" right="0.7" top="0.78740157499999996" bottom="0.78740157499999996" header="0.3" footer="0.3"/>
  <pageSetup paperSize="9"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Tabelle26"/>
  <dimension ref="B1:R33"/>
  <sheetViews>
    <sheetView showGridLines="0" zoomScaleNormal="100" workbookViewId="0">
      <selection activeCell="E40" sqref="E40"/>
    </sheetView>
  </sheetViews>
  <sheetFormatPr defaultColWidth="10.875" defaultRowHeight="15" outlineLevelCol="1" x14ac:dyDescent="0.2"/>
  <cols>
    <col min="1" max="1" width="2.875" style="80" customWidth="1"/>
    <col min="2" max="2" width="4.125" style="80" customWidth="1"/>
    <col min="3" max="3" width="8.5" style="80" customWidth="1"/>
    <col min="4" max="4" width="26" style="80" customWidth="1"/>
    <col min="5" max="5" width="12.375" style="80" customWidth="1"/>
    <col min="6" max="6" width="60.5" style="80" customWidth="1"/>
    <col min="7" max="7" width="18.5" style="80" customWidth="1"/>
    <col min="8" max="8" width="14" style="80" customWidth="1"/>
    <col min="9" max="9" width="4.125" style="80" customWidth="1"/>
    <col min="10" max="11" width="10.875" style="80"/>
    <col min="12" max="12" width="73.125" style="80" customWidth="1" outlineLevel="1"/>
    <col min="13" max="13" width="12.375" style="80" customWidth="1" outlineLevel="1"/>
    <col min="14" max="14" width="10.375" style="80" customWidth="1" outlineLevel="1"/>
    <col min="15" max="15" width="10.875" style="80" outlineLevel="1"/>
    <col min="16" max="16" width="110.375" style="80" customWidth="1" outlineLevel="1"/>
    <col min="17" max="17" width="10.875" style="80" outlineLevel="1"/>
    <col min="18" max="18" width="21" style="80" customWidth="1" outlineLevel="1"/>
    <col min="19" max="16384" width="10.875" style="80"/>
  </cols>
  <sheetData>
    <row r="1" spans="2:18" s="1" customFormat="1" ht="17.100000000000001" customHeight="1" thickBot="1" x14ac:dyDescent="0.25">
      <c r="C1" s="24"/>
      <c r="D1" s="24"/>
      <c r="E1" s="24"/>
      <c r="G1" s="25"/>
      <c r="H1" s="25"/>
    </row>
    <row r="2" spans="2:18" s="1" customFormat="1" ht="14.1" customHeight="1" thickBot="1" x14ac:dyDescent="0.25">
      <c r="B2" s="182"/>
      <c r="C2" s="183"/>
      <c r="D2" s="183"/>
      <c r="E2" s="183"/>
      <c r="F2" s="184"/>
      <c r="G2" s="184"/>
      <c r="H2" s="184"/>
      <c r="I2" s="185"/>
      <c r="K2" s="25"/>
      <c r="L2" s="182" t="s">
        <v>262</v>
      </c>
      <c r="M2" s="853" t="s">
        <v>275</v>
      </c>
      <c r="N2" s="854"/>
      <c r="P2" s="182" t="s">
        <v>265</v>
      </c>
      <c r="Q2" s="184"/>
      <c r="R2" s="185"/>
    </row>
    <row r="3" spans="2:18" s="1" customFormat="1" ht="17.100000000000001" customHeight="1" thickBot="1" x14ac:dyDescent="0.25">
      <c r="B3" s="47"/>
      <c r="C3" s="186" t="s">
        <v>258</v>
      </c>
      <c r="D3" s="186"/>
      <c r="E3" s="186"/>
      <c r="F3" s="186"/>
      <c r="G3" s="186"/>
      <c r="H3" s="186"/>
      <c r="I3" s="187"/>
      <c r="K3" s="25"/>
      <c r="L3" s="217" t="s">
        <v>264</v>
      </c>
      <c r="M3" s="218" t="s">
        <v>27</v>
      </c>
      <c r="N3" s="347">
        <v>2</v>
      </c>
      <c r="P3" s="217" t="s">
        <v>266</v>
      </c>
      <c r="Q3" s="218">
        <v>1</v>
      </c>
      <c r="R3" s="219" t="s">
        <v>270</v>
      </c>
    </row>
    <row r="4" spans="2:18" s="1" customFormat="1" ht="17.100000000000001" customHeight="1" thickBot="1" x14ac:dyDescent="0.25">
      <c r="B4" s="188"/>
      <c r="C4" s="189"/>
      <c r="D4" s="189"/>
      <c r="E4" s="189"/>
      <c r="F4" s="189"/>
      <c r="G4" s="189"/>
      <c r="H4" s="189"/>
      <c r="I4" s="190"/>
      <c r="K4" s="25"/>
      <c r="L4" s="222" t="s">
        <v>263</v>
      </c>
      <c r="M4" s="350" t="s">
        <v>28</v>
      </c>
      <c r="N4" s="351">
        <v>3</v>
      </c>
      <c r="P4" s="220" t="s">
        <v>267</v>
      </c>
      <c r="Q4" s="216">
        <v>2</v>
      </c>
      <c r="R4" s="221" t="s">
        <v>271</v>
      </c>
    </row>
    <row r="5" spans="2:18" s="1" customFormat="1" ht="14.1" customHeight="1" x14ac:dyDescent="0.2">
      <c r="P5" s="220" t="s">
        <v>268</v>
      </c>
      <c r="Q5" s="216">
        <v>3</v>
      </c>
      <c r="R5" s="221" t="s">
        <v>271</v>
      </c>
    </row>
    <row r="6" spans="2:18" s="1" customFormat="1" ht="13.5" thickBot="1" x14ac:dyDescent="0.25">
      <c r="D6" s="24"/>
      <c r="E6" s="24"/>
      <c r="G6" s="25"/>
      <c r="P6" s="222" t="s">
        <v>269</v>
      </c>
      <c r="Q6" s="223">
        <v>4</v>
      </c>
      <c r="R6" s="224" t="s">
        <v>272</v>
      </c>
    </row>
    <row r="7" spans="2:18" s="179" customFormat="1" ht="14.1" customHeight="1" thickBot="1" x14ac:dyDescent="0.25">
      <c r="B7" s="182"/>
      <c r="C7" s="184"/>
      <c r="D7" s="184"/>
      <c r="E7" s="184"/>
      <c r="F7" s="184"/>
      <c r="G7" s="11"/>
      <c r="H7" s="11"/>
      <c r="I7" s="20"/>
      <c r="K7" s="1"/>
      <c r="N7" s="196"/>
    </row>
    <row r="8" spans="2:18" ht="33.950000000000003" customHeight="1" thickBot="1" x14ac:dyDescent="0.25">
      <c r="B8" s="194"/>
      <c r="C8" s="208" t="s">
        <v>273</v>
      </c>
      <c r="D8" s="356" t="s">
        <v>74</v>
      </c>
      <c r="E8" s="208" t="s">
        <v>259</v>
      </c>
      <c r="F8" s="208" t="s">
        <v>499</v>
      </c>
      <c r="G8" s="208" t="s">
        <v>260</v>
      </c>
      <c r="H8" s="46"/>
      <c r="I8" s="21"/>
      <c r="K8" s="179"/>
    </row>
    <row r="9" spans="2:18" ht="33.950000000000003" customHeight="1" thickBot="1" x14ac:dyDescent="0.25">
      <c r="B9" s="678" t="str">
        <f>'Unos podataka'!F14</f>
        <v/>
      </c>
      <c r="C9" s="200" t="str">
        <f>'Unos podataka'!G14</f>
        <v/>
      </c>
      <c r="D9" s="355" t="str">
        <f>IF(B9&lt;&gt;"",'Unos podataka'!H14,"")</f>
        <v/>
      </c>
      <c r="E9" s="352" t="str">
        <f>IF(C9="","",'Unos podataka'!I14)</f>
        <v/>
      </c>
      <c r="F9" s="595"/>
      <c r="G9" s="207" t="str">
        <f>IF(B9=1,IF(F9=$L$3,$M$3,IF(F9=$L$4,$M$4,"")),"")</f>
        <v/>
      </c>
      <c r="H9" s="354">
        <f>IF(F9="",1,0)</f>
        <v>1</v>
      </c>
      <c r="I9" s="21"/>
    </row>
    <row r="10" spans="2:18" ht="33.950000000000003" customHeight="1" thickBot="1" x14ac:dyDescent="0.25">
      <c r="B10" s="678" t="str">
        <f>'Unos podataka'!F15</f>
        <v/>
      </c>
      <c r="C10" s="200" t="str">
        <f>'Unos podataka'!G15</f>
        <v/>
      </c>
      <c r="D10" s="355" t="str">
        <f>IF(B10&lt;&gt;"",'Unos podataka'!H15,"")</f>
        <v/>
      </c>
      <c r="E10" s="352" t="str">
        <f>IF(C10="","",'Unos podataka'!I15)</f>
        <v/>
      </c>
      <c r="F10" s="595"/>
      <c r="G10" s="207" t="str">
        <f>IF(B10=1,IF(F10=$L$3,$M$3,IF(F10=$L$4,$M$4,"")),"")</f>
        <v/>
      </c>
      <c r="H10" s="354">
        <f>IF(F10="",1,0)</f>
        <v>1</v>
      </c>
      <c r="I10" s="21"/>
    </row>
    <row r="11" spans="2:18" ht="33.950000000000003" customHeight="1" thickBot="1" x14ac:dyDescent="0.25">
      <c r="B11" s="678" t="str">
        <f>'Unos podataka'!F16</f>
        <v/>
      </c>
      <c r="C11" s="200" t="str">
        <f>'Unos podataka'!G16</f>
        <v/>
      </c>
      <c r="D11" s="355" t="str">
        <f>IF(B11&lt;&gt;"",'Unos podataka'!H16,"")</f>
        <v/>
      </c>
      <c r="E11" s="352" t="str">
        <f>IF(C11="","",'Unos podataka'!I16)</f>
        <v/>
      </c>
      <c r="F11" s="595"/>
      <c r="G11" s="207" t="str">
        <f>IF(B11=1,IF(F11=$L$3,$M$3,IF(F11=$L$4,$M$4,"")),"")</f>
        <v/>
      </c>
      <c r="H11" s="354">
        <f>IF(F11="",1,0)</f>
        <v>1</v>
      </c>
      <c r="I11" s="21"/>
    </row>
    <row r="12" spans="2:18" ht="33.950000000000003" customHeight="1" thickBot="1" x14ac:dyDescent="0.25">
      <c r="B12" s="678" t="str">
        <f>'Unos podataka'!F17</f>
        <v/>
      </c>
      <c r="C12" s="200" t="str">
        <f>'Unos podataka'!G17</f>
        <v/>
      </c>
      <c r="D12" s="355" t="str">
        <f>IF(B12&lt;&gt;"",'Unos podataka'!H17,"")</f>
        <v/>
      </c>
      <c r="E12" s="352" t="str">
        <f>IF(C12="","",'Unos podataka'!I17)</f>
        <v/>
      </c>
      <c r="F12" s="595"/>
      <c r="G12" s="207" t="str">
        <f>IF(B12=1,IF(F12=$L$3,$M$3,IF(F12=$L$4,$M$4,"")),"")</f>
        <v/>
      </c>
      <c r="H12" s="354">
        <f>IF(F12="",1,0)</f>
        <v>1</v>
      </c>
      <c r="I12" s="21"/>
    </row>
    <row r="13" spans="2:18" ht="33.950000000000003" customHeight="1" thickBot="1" x14ac:dyDescent="0.25">
      <c r="B13" s="678" t="str">
        <f>'Unos podataka'!F18</f>
        <v/>
      </c>
      <c r="C13" s="214" t="str">
        <f>'Unos podataka'!G18</f>
        <v/>
      </c>
      <c r="D13" s="355" t="str">
        <f>IF(B13&lt;&gt;"",'Unos podataka'!H18,"")</f>
        <v/>
      </c>
      <c r="E13" s="352" t="str">
        <f>IF(C13="","",'Unos podataka'!I18)</f>
        <v/>
      </c>
      <c r="F13" s="595"/>
      <c r="G13" s="199" t="str">
        <f>IF(B13=1,IF(F13=$L$3,$M$3,IF(F13=$L$4,$M$4,"")),"")</f>
        <v/>
      </c>
      <c r="H13" s="354">
        <f>IF(F13="",1,0)</f>
        <v>1</v>
      </c>
      <c r="I13" s="21"/>
      <c r="L13" s="80">
        <f>SUMPRODUCT(B9:B13)</f>
        <v>0</v>
      </c>
    </row>
    <row r="14" spans="2:18" ht="15.75" thickBot="1" x14ac:dyDescent="0.25">
      <c r="B14" s="197"/>
      <c r="C14" s="784" t="s">
        <v>261</v>
      </c>
      <c r="D14" s="785"/>
      <c r="E14" s="206">
        <f>SUM(E9:E13)</f>
        <v>0</v>
      </c>
      <c r="F14" s="46"/>
      <c r="G14" s="46"/>
      <c r="H14" s="416"/>
      <c r="I14" s="21"/>
    </row>
    <row r="15" spans="2:18" ht="15.75" thickBot="1" x14ac:dyDescent="0.25">
      <c r="B15" s="45"/>
      <c r="C15" s="354"/>
      <c r="D15" s="46"/>
      <c r="E15" s="46"/>
      <c r="F15" s="46"/>
      <c r="G15" s="46"/>
      <c r="H15" s="416"/>
      <c r="I15" s="21"/>
    </row>
    <row r="16" spans="2:18" ht="15.95" customHeight="1" x14ac:dyDescent="0.2">
      <c r="B16" s="47"/>
      <c r="C16" s="860" t="str">
        <f>IF(C9="","",IF(SUMPRODUCT(B9:B13,H9:H13)&lt;&gt;0,"Hidromorfološki status vodnog tijela nije unesen!", "Hidromorfološki status vodnog tijela unesen"))</f>
        <v/>
      </c>
      <c r="D16" s="861"/>
      <c r="E16" s="861"/>
      <c r="F16" s="861"/>
      <c r="G16" s="862"/>
      <c r="H16" s="859">
        <f>IF(C9="",0,IF(SUMPRODUCT(B9:B13,H9:H13)&lt;&gt;0,0,1))</f>
        <v>0</v>
      </c>
      <c r="I16" s="49"/>
    </row>
    <row r="17" spans="2:9" ht="17.100000000000001" customHeight="1" thickBot="1" x14ac:dyDescent="0.25">
      <c r="B17" s="194"/>
      <c r="C17" s="863"/>
      <c r="D17" s="864"/>
      <c r="E17" s="864"/>
      <c r="F17" s="864"/>
      <c r="G17" s="865"/>
      <c r="H17" s="859"/>
      <c r="I17" s="49"/>
    </row>
    <row r="18" spans="2:9" ht="15.75" thickBot="1" x14ac:dyDescent="0.25">
      <c r="B18" s="357"/>
      <c r="C18" s="51"/>
      <c r="D18" s="51"/>
      <c r="E18" s="51"/>
      <c r="F18" s="51"/>
      <c r="G18" s="51"/>
      <c r="H18" s="51"/>
      <c r="I18" s="205"/>
    </row>
    <row r="20" spans="2:9" ht="15.75" thickBot="1" x14ac:dyDescent="0.25"/>
    <row r="21" spans="2:9" ht="15.75" thickBot="1" x14ac:dyDescent="0.25">
      <c r="B21" s="182"/>
      <c r="C21" s="184"/>
      <c r="D21" s="184"/>
      <c r="E21" s="184"/>
      <c r="F21" s="11"/>
      <c r="G21" s="11"/>
      <c r="H21" s="11"/>
      <c r="I21" s="20"/>
    </row>
    <row r="22" spans="2:9" ht="33.950000000000003" customHeight="1" thickBot="1" x14ac:dyDescent="0.25">
      <c r="B22" s="194"/>
      <c r="C22" s="208" t="s">
        <v>273</v>
      </c>
      <c r="D22" s="358" t="s">
        <v>74</v>
      </c>
      <c r="E22" s="855" t="s">
        <v>274</v>
      </c>
      <c r="F22" s="856"/>
      <c r="G22" s="209" t="s">
        <v>80</v>
      </c>
      <c r="H22" s="209" t="s">
        <v>145</v>
      </c>
      <c r="I22" s="21"/>
    </row>
    <row r="23" spans="2:9" ht="29.1" customHeight="1" thickBot="1" x14ac:dyDescent="0.25">
      <c r="B23" s="197" t="str">
        <f>B9</f>
        <v/>
      </c>
      <c r="C23" s="200" t="str">
        <f>'Unos podataka'!G14</f>
        <v/>
      </c>
      <c r="D23" s="717" t="str">
        <f>IF(B9&lt;&gt;"",'Unos podataka'!H14,"")</f>
        <v/>
      </c>
      <c r="E23" s="857"/>
      <c r="F23" s="858"/>
      <c r="G23" s="210" t="str">
        <f>IF(OR(G9="",E23=""),"",VLOOKUP(MATCH(E23,$P$3:$P$6,0),$Q$3:$R$6,2))</f>
        <v/>
      </c>
      <c r="H23" s="212" t="str">
        <f>G9</f>
        <v/>
      </c>
      <c r="I23" s="246">
        <f>IF(OR(F9="",E23=""),1,0)</f>
        <v>1</v>
      </c>
    </row>
    <row r="24" spans="2:9" ht="29.1" customHeight="1" thickBot="1" x14ac:dyDescent="0.25">
      <c r="B24" s="197" t="str">
        <f>B10</f>
        <v/>
      </c>
      <c r="C24" s="200" t="str">
        <f>'Unos podataka'!G15</f>
        <v/>
      </c>
      <c r="D24" s="717" t="str">
        <f>IF(B10&lt;&gt;"",'Unos podataka'!H15,"")</f>
        <v/>
      </c>
      <c r="E24" s="857"/>
      <c r="F24" s="858"/>
      <c r="G24" s="210" t="str">
        <f>IF(OR(G10="",E24=""),"",VLOOKUP(MATCH(E24,$P$3:$P$6,0),$Q$3:$R$6,2))</f>
        <v/>
      </c>
      <c r="H24" s="212" t="str">
        <f>G10</f>
        <v/>
      </c>
      <c r="I24" s="246">
        <f t="shared" ref="I24:I27" si="0">IF(OR(F10="",E24=""),1,0)</f>
        <v>1</v>
      </c>
    </row>
    <row r="25" spans="2:9" ht="29.1" customHeight="1" thickBot="1" x14ac:dyDescent="0.25">
      <c r="B25" s="197" t="str">
        <f>B11</f>
        <v/>
      </c>
      <c r="C25" s="200" t="str">
        <f>'Unos podataka'!G16</f>
        <v/>
      </c>
      <c r="D25" s="717" t="str">
        <f>IF(B11&lt;&gt;"",'Unos podataka'!H16,"")</f>
        <v/>
      </c>
      <c r="E25" s="857"/>
      <c r="F25" s="858"/>
      <c r="G25" s="210" t="str">
        <f>IF(OR(G11="",E25=""),"",VLOOKUP(MATCH(E25,$P$3:$P$6,0),$Q$3:$R$6,2))</f>
        <v/>
      </c>
      <c r="H25" s="212" t="str">
        <f>G11</f>
        <v/>
      </c>
      <c r="I25" s="246">
        <f t="shared" si="0"/>
        <v>1</v>
      </c>
    </row>
    <row r="26" spans="2:9" ht="27.95" customHeight="1" thickBot="1" x14ac:dyDescent="0.25">
      <c r="B26" s="197" t="str">
        <f>B12</f>
        <v/>
      </c>
      <c r="C26" s="200" t="str">
        <f>'Unos podataka'!G17</f>
        <v/>
      </c>
      <c r="D26" s="717" t="str">
        <f>IF(B12&lt;&gt;"",'Unos podataka'!H17,"")</f>
        <v/>
      </c>
      <c r="E26" s="857"/>
      <c r="F26" s="858"/>
      <c r="G26" s="210" t="str">
        <f>IF(OR(G12="",E26=""),"",VLOOKUP(MATCH(E26,$P$3:$P$6,0),$Q$3:$R$6,2))</f>
        <v/>
      </c>
      <c r="H26" s="212" t="str">
        <f>G12</f>
        <v/>
      </c>
      <c r="I26" s="246">
        <f t="shared" si="0"/>
        <v>1</v>
      </c>
    </row>
    <row r="27" spans="2:9" ht="29.1" customHeight="1" thickBot="1" x14ac:dyDescent="0.25">
      <c r="B27" s="197" t="str">
        <f>B13</f>
        <v/>
      </c>
      <c r="C27" s="214" t="str">
        <f>'Unos podataka'!G18</f>
        <v/>
      </c>
      <c r="D27" s="717" t="str">
        <f>IF(B13&lt;&gt;"",'Unos podataka'!H18,"")</f>
        <v/>
      </c>
      <c r="E27" s="857"/>
      <c r="F27" s="858"/>
      <c r="G27" s="210" t="str">
        <f>IF(OR(G13="",E27=""),"",VLOOKUP(MATCH(E27,$P$3:$P$6,0),$Q$3:$R$6,2))</f>
        <v/>
      </c>
      <c r="H27" s="213" t="str">
        <f>G13</f>
        <v/>
      </c>
      <c r="I27" s="246">
        <f t="shared" si="0"/>
        <v>1</v>
      </c>
    </row>
    <row r="28" spans="2:9" x14ac:dyDescent="0.2">
      <c r="B28" s="197"/>
      <c r="C28" s="46"/>
      <c r="D28" s="46"/>
      <c r="E28" s="46"/>
      <c r="F28" s="46"/>
      <c r="G28" s="46"/>
      <c r="H28" s="46"/>
      <c r="I28" s="21"/>
    </row>
    <row r="29" spans="2:9" ht="15.75" thickBot="1" x14ac:dyDescent="0.25">
      <c r="B29" s="204"/>
      <c r="C29" s="51"/>
      <c r="D29" s="51"/>
      <c r="E29" s="51"/>
      <c r="F29" s="51"/>
      <c r="G29" s="51"/>
      <c r="H29" s="51"/>
      <c r="I29" s="205"/>
    </row>
    <row r="30" spans="2:9" ht="15.75" thickBot="1" x14ac:dyDescent="0.25"/>
    <row r="31" spans="2:9" x14ac:dyDescent="0.2">
      <c r="B31" s="241"/>
      <c r="C31" s="242"/>
      <c r="D31" s="242"/>
      <c r="E31" s="242"/>
      <c r="F31" s="242"/>
      <c r="G31" s="242"/>
      <c r="H31" s="242"/>
      <c r="I31" s="243"/>
    </row>
    <row r="32" spans="2:9" ht="23.25" x14ac:dyDescent="0.35">
      <c r="B32" s="45"/>
      <c r="C32" s="866" t="str">
        <f>IF(C23="","",IF(SUMPRODUCT(B23:B27,I23:I27)&lt;&gt;0,"Ocjena kriterija nije završena!", "Sva vodna tijela su ocijenjena!"))</f>
        <v/>
      </c>
      <c r="D32" s="866"/>
      <c r="E32" s="866"/>
      <c r="F32" s="866"/>
      <c r="G32" s="866"/>
      <c r="H32" s="631">
        <f>IF(C23="",0,IF(SUMPRODUCT(B23:B27,I23:I27)&lt;&gt;0,0,1))</f>
        <v>0</v>
      </c>
      <c r="I32" s="49"/>
    </row>
    <row r="33" spans="2:9" ht="15.75" thickBot="1" x14ac:dyDescent="0.25">
      <c r="B33" s="204"/>
      <c r="C33" s="51"/>
      <c r="D33" s="51"/>
      <c r="E33" s="51"/>
      <c r="F33" s="51"/>
      <c r="G33" s="51"/>
      <c r="H33" s="51"/>
      <c r="I33" s="205"/>
    </row>
  </sheetData>
  <sheetProtection algorithmName="SHA-512" hashValue="isYhrE8Xn3+d77YWB/C4UuP1CKxmIt4tqAboc1+1cPBAgrhS8uK2aX4sqkO0AMKULkILBNz+6uCndxZhRgs4VQ==" saltValue="zHRMaZUIL7xjcZsppLDXJA==" spinCount="100000" sheet="1" objects="1" scenarios="1"/>
  <mergeCells count="11">
    <mergeCell ref="E26:F26"/>
    <mergeCell ref="C16:G17"/>
    <mergeCell ref="E27:F27"/>
    <mergeCell ref="C14:D14"/>
    <mergeCell ref="C32:G32"/>
    <mergeCell ref="M2:N2"/>
    <mergeCell ref="E22:F22"/>
    <mergeCell ref="E23:F23"/>
    <mergeCell ref="E24:F24"/>
    <mergeCell ref="E25:F25"/>
    <mergeCell ref="H16:H17"/>
  </mergeCells>
  <conditionalFormatting sqref="C23:C27">
    <cfRule type="expression" dxfId="213" priority="58">
      <formula>$C23="n.a."</formula>
    </cfRule>
  </conditionalFormatting>
  <conditionalFormatting sqref="G23:G27">
    <cfRule type="expression" dxfId="212" priority="39">
      <formula>B23&lt;&gt;1</formula>
    </cfRule>
  </conditionalFormatting>
  <conditionalFormatting sqref="C32">
    <cfRule type="expression" dxfId="211" priority="37">
      <formula>SUMPRODUCT($B$23:$B$27,$I$23:$I$27)=0</formula>
    </cfRule>
  </conditionalFormatting>
  <conditionalFormatting sqref="C14 E14">
    <cfRule type="expression" dxfId="210" priority="36">
      <formula>#REF!="n.a."</formula>
    </cfRule>
  </conditionalFormatting>
  <conditionalFormatting sqref="D9:E9 E10:E12 D10:D13">
    <cfRule type="expression" dxfId="209" priority="35">
      <formula>$C9="n.a."</formula>
    </cfRule>
  </conditionalFormatting>
  <conditionalFormatting sqref="G9:G13">
    <cfRule type="expression" dxfId="208" priority="27">
      <formula>$C9="n.a."</formula>
    </cfRule>
  </conditionalFormatting>
  <conditionalFormatting sqref="C9:C12">
    <cfRule type="expression" dxfId="207" priority="26">
      <formula>$C9="n.a."</formula>
    </cfRule>
  </conditionalFormatting>
  <conditionalFormatting sqref="E13">
    <cfRule type="expression" dxfId="206" priority="25">
      <formula>$C13="n.a."</formula>
    </cfRule>
  </conditionalFormatting>
  <conditionalFormatting sqref="C13">
    <cfRule type="expression" dxfId="205" priority="23">
      <formula>$C13="n.a."</formula>
    </cfRule>
  </conditionalFormatting>
  <conditionalFormatting sqref="E23">
    <cfRule type="expression" dxfId="204" priority="92">
      <formula>B23&lt;&gt;1</formula>
    </cfRule>
  </conditionalFormatting>
  <conditionalFormatting sqref="F9">
    <cfRule type="expression" dxfId="203" priority="22">
      <formula>B9=1</formula>
    </cfRule>
  </conditionalFormatting>
  <conditionalFormatting sqref="C16">
    <cfRule type="expression" dxfId="202" priority="17">
      <formula>SUMPRODUCT($B$9:$B$13,$H$9:$H$13)=0</formula>
    </cfRule>
  </conditionalFormatting>
  <conditionalFormatting sqref="E24">
    <cfRule type="expression" dxfId="201" priority="8">
      <formula>B24&lt;&gt;1</formula>
    </cfRule>
  </conditionalFormatting>
  <conditionalFormatting sqref="E25">
    <cfRule type="expression" dxfId="200" priority="7">
      <formula>B25&lt;&gt;1</formula>
    </cfRule>
  </conditionalFormatting>
  <conditionalFormatting sqref="E26">
    <cfRule type="expression" dxfId="199" priority="6">
      <formula>B26&lt;&gt;1</formula>
    </cfRule>
  </conditionalFormatting>
  <conditionalFormatting sqref="E27">
    <cfRule type="expression" dxfId="198" priority="5">
      <formula>B27&lt;&gt;1</formula>
    </cfRule>
  </conditionalFormatting>
  <conditionalFormatting sqref="F10">
    <cfRule type="expression" dxfId="197" priority="4">
      <formula>B10=1</formula>
    </cfRule>
  </conditionalFormatting>
  <conditionalFormatting sqref="F11">
    <cfRule type="expression" dxfId="196" priority="3">
      <formula>B11=1</formula>
    </cfRule>
  </conditionalFormatting>
  <conditionalFormatting sqref="F12">
    <cfRule type="expression" dxfId="195" priority="2">
      <formula>B12=1</formula>
    </cfRule>
  </conditionalFormatting>
  <conditionalFormatting sqref="F13">
    <cfRule type="expression" dxfId="194" priority="1">
      <formula>B13=1</formula>
    </cfRule>
  </conditionalFormatting>
  <dataValidations count="2">
    <dataValidation type="list" allowBlank="1" showInputMessage="1" showErrorMessage="1" error="Wrong input!" prompt="Izaberite hidromorfološki status" sqref="F9:F13" xr:uid="{00000000-0002-0000-1B00-000000000000}">
      <formula1>$L$3:$L$5</formula1>
    </dataValidation>
    <dataValidation type="list" allowBlank="1" showInputMessage="1" showErrorMessage="1" error="Wrong input!" prompt="Izaberite hidromorfološki status vodnog tijela koje je pod uticajem" sqref="E23:F27" xr:uid="{00000000-0002-0000-1B00-000001000000}">
      <formula1>$P$3:$P$7</formula1>
    </dataValidation>
  </dataValidations>
  <pageMargins left="0.7" right="0.7" top="0.78740157499999996" bottom="0.78740157499999996"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Tabelle27"/>
  <dimension ref="B1:O17"/>
  <sheetViews>
    <sheetView showGridLines="0" zoomScaleNormal="100" workbookViewId="0">
      <selection activeCell="I29" sqref="I29"/>
    </sheetView>
  </sheetViews>
  <sheetFormatPr defaultColWidth="10.875" defaultRowHeight="15" outlineLevelCol="1" x14ac:dyDescent="0.2"/>
  <cols>
    <col min="1" max="1" width="2.875" style="80" customWidth="1"/>
    <col min="2" max="2" width="4.125" style="80" customWidth="1"/>
    <col min="3" max="3" width="9" style="80" customWidth="1"/>
    <col min="4" max="4" width="10.875" style="80"/>
    <col min="5" max="5" width="12.375" style="80" customWidth="1"/>
    <col min="6" max="6" width="25.125" style="80" customWidth="1"/>
    <col min="7" max="7" width="17.5" style="80" customWidth="1"/>
    <col min="8" max="8" width="10.625" style="80" customWidth="1"/>
    <col min="9" max="9" width="4.125" style="80" customWidth="1"/>
    <col min="10" max="12" width="10.875" style="80"/>
    <col min="13" max="13" width="30.375" style="80" customWidth="1" outlineLevel="1"/>
    <col min="14" max="14" width="10.875" style="80" outlineLevel="1"/>
    <col min="15" max="15" width="21.875" style="80" customWidth="1" outlineLevel="1"/>
    <col min="16" max="16384" width="10.875" style="80"/>
  </cols>
  <sheetData>
    <row r="1" spans="2:15" s="1" customFormat="1" ht="17.100000000000001" customHeight="1" thickBot="1" x14ac:dyDescent="0.25">
      <c r="C1" s="24"/>
      <c r="D1" s="24"/>
      <c r="E1" s="24"/>
      <c r="G1" s="25"/>
      <c r="H1" s="25"/>
    </row>
    <row r="2" spans="2:15" s="1" customFormat="1" ht="14.1" customHeight="1" thickBot="1" x14ac:dyDescent="0.25">
      <c r="B2" s="182"/>
      <c r="C2" s="183"/>
      <c r="D2" s="183"/>
      <c r="E2" s="183"/>
      <c r="F2" s="184"/>
      <c r="G2" s="184"/>
      <c r="H2" s="184"/>
      <c r="I2" s="185"/>
      <c r="K2" s="25"/>
      <c r="M2" s="182" t="s">
        <v>278</v>
      </c>
      <c r="N2" s="184"/>
      <c r="O2" s="185"/>
    </row>
    <row r="3" spans="2:15" s="1" customFormat="1" ht="17.100000000000001" customHeight="1" x14ac:dyDescent="0.2">
      <c r="B3" s="47"/>
      <c r="C3" s="186" t="s">
        <v>276</v>
      </c>
      <c r="D3" s="186"/>
      <c r="E3" s="186"/>
      <c r="F3" s="186"/>
      <c r="G3" s="186"/>
      <c r="H3" s="186"/>
      <c r="I3" s="187"/>
      <c r="K3" s="25"/>
      <c r="M3" s="217" t="s">
        <v>83</v>
      </c>
      <c r="N3" s="218" t="s">
        <v>28</v>
      </c>
      <c r="O3" s="219" t="s">
        <v>270</v>
      </c>
    </row>
    <row r="4" spans="2:15" s="1" customFormat="1" ht="17.100000000000001" customHeight="1" thickBot="1" x14ac:dyDescent="0.25">
      <c r="B4" s="188"/>
      <c r="C4" s="189"/>
      <c r="D4" s="189"/>
      <c r="E4" s="189"/>
      <c r="F4" s="189"/>
      <c r="G4" s="189"/>
      <c r="H4" s="189"/>
      <c r="I4" s="190"/>
      <c r="K4" s="25"/>
      <c r="M4" s="222" t="s">
        <v>84</v>
      </c>
      <c r="N4" s="223" t="s">
        <v>28</v>
      </c>
      <c r="O4" s="224" t="s">
        <v>272</v>
      </c>
    </row>
    <row r="5" spans="2:15" s="1" customFormat="1" ht="14.1" customHeight="1" thickBot="1" x14ac:dyDescent="0.25"/>
    <row r="6" spans="2:15" s="1" customFormat="1" ht="13.5" thickBot="1" x14ac:dyDescent="0.25">
      <c r="B6" s="182"/>
      <c r="C6" s="184"/>
      <c r="D6" s="184"/>
      <c r="E6" s="184"/>
      <c r="F6" s="11"/>
      <c r="G6" s="11"/>
      <c r="H6" s="11"/>
      <c r="I6" s="20"/>
    </row>
    <row r="7" spans="2:15" s="179" customFormat="1" ht="35.1" customHeight="1" thickBot="1" x14ac:dyDescent="0.25">
      <c r="B7" s="194"/>
      <c r="C7" s="208" t="s">
        <v>273</v>
      </c>
      <c r="D7" s="868" t="s">
        <v>74</v>
      </c>
      <c r="E7" s="869"/>
      <c r="F7" s="208" t="s">
        <v>277</v>
      </c>
      <c r="G7" s="209" t="s">
        <v>80</v>
      </c>
      <c r="H7" s="208" t="s">
        <v>145</v>
      </c>
      <c r="I7" s="21"/>
    </row>
    <row r="8" spans="2:15" ht="33.950000000000003" customHeight="1" thickBot="1" x14ac:dyDescent="0.25">
      <c r="B8" s="197" t="str">
        <f>'Unos podataka'!F14</f>
        <v/>
      </c>
      <c r="C8" s="200" t="str">
        <f>'Unos podataka'!G14</f>
        <v/>
      </c>
      <c r="D8" s="870" t="str">
        <f>IF(B8&lt;&gt;"",'Unos podataka'!H14,"")</f>
        <v/>
      </c>
      <c r="E8" s="867"/>
      <c r="F8" s="598"/>
      <c r="G8" s="210" t="str">
        <f>IF(F8=$M$3,$O$3,IF(F8=$M$4,$O$4,""))</f>
        <v/>
      </c>
      <c r="H8" s="225" t="str">
        <f>IF(F8=$M$3,$N$3,IF(F8=$M$4,$N$4,""))</f>
        <v/>
      </c>
      <c r="I8" s="246">
        <f>IF(F8="",1,0)</f>
        <v>1</v>
      </c>
    </row>
    <row r="9" spans="2:15" ht="33.950000000000003" customHeight="1" thickBot="1" x14ac:dyDescent="0.25">
      <c r="B9" s="197" t="str">
        <f>'Unos podataka'!F15</f>
        <v/>
      </c>
      <c r="C9" s="200" t="str">
        <f>'Unos podataka'!G15</f>
        <v/>
      </c>
      <c r="D9" s="870" t="str">
        <f>IF(B9&lt;&gt;"",'Unos podataka'!H15,"")</f>
        <v/>
      </c>
      <c r="E9" s="867"/>
      <c r="F9" s="598"/>
      <c r="G9" s="210" t="str">
        <f>IF(F9=$M$3,$O$3,IF(F9=$M$4,$O$4,""))</f>
        <v/>
      </c>
      <c r="H9" s="225" t="str">
        <f t="shared" ref="H9:H12" si="0">IF(F9=$M$3,$N$3,IF(F9=$M$4,$N$4,""))</f>
        <v/>
      </c>
      <c r="I9" s="246">
        <f>IF(F9="",1,0)</f>
        <v>1</v>
      </c>
    </row>
    <row r="10" spans="2:15" ht="33.950000000000003" customHeight="1" thickBot="1" x14ac:dyDescent="0.25">
      <c r="B10" s="197" t="str">
        <f>'Unos podataka'!F16</f>
        <v/>
      </c>
      <c r="C10" s="200" t="str">
        <f>'Unos podataka'!G16</f>
        <v/>
      </c>
      <c r="D10" s="870" t="str">
        <f>IF(B10&lt;&gt;"",'Unos podataka'!H16,"")</f>
        <v/>
      </c>
      <c r="E10" s="867"/>
      <c r="F10" s="598"/>
      <c r="G10" s="210" t="str">
        <f>IF(F10=$M$3,$O$3,IF(F10=$M$4,$O$4,""))</f>
        <v/>
      </c>
      <c r="H10" s="225" t="str">
        <f t="shared" si="0"/>
        <v/>
      </c>
      <c r="I10" s="246">
        <f>IF(F10="",1,0)</f>
        <v>1</v>
      </c>
    </row>
    <row r="11" spans="2:15" ht="33.950000000000003" customHeight="1" thickBot="1" x14ac:dyDescent="0.25">
      <c r="B11" s="197" t="str">
        <f>'Unos podataka'!F17</f>
        <v/>
      </c>
      <c r="C11" s="353" t="str">
        <f>'Unos podataka'!G17</f>
        <v/>
      </c>
      <c r="D11" s="870" t="str">
        <f>IF(B11&lt;&gt;"",'Unos podataka'!H17,"")</f>
        <v/>
      </c>
      <c r="E11" s="867"/>
      <c r="F11" s="598"/>
      <c r="G11" s="210" t="str">
        <f>IF(F11=$M$3,$O$3,IF(F11=$M$4,$O$4,""))</f>
        <v/>
      </c>
      <c r="H11" s="225" t="str">
        <f t="shared" si="0"/>
        <v/>
      </c>
      <c r="I11" s="246">
        <f>IF(F11="",1,0)</f>
        <v>1</v>
      </c>
    </row>
    <row r="12" spans="2:15" ht="33.950000000000003" customHeight="1" thickBot="1" x14ac:dyDescent="0.25">
      <c r="B12" s="197" t="str">
        <f>'Unos podataka'!F18</f>
        <v/>
      </c>
      <c r="C12" s="586" t="str">
        <f>'Unos podataka'!G18</f>
        <v/>
      </c>
      <c r="D12" s="867" t="str">
        <f>IF(B12&lt;&gt;"",'Unos podataka'!H18,"")</f>
        <v/>
      </c>
      <c r="E12" s="867"/>
      <c r="F12" s="598"/>
      <c r="G12" s="210" t="str">
        <f>IF(F12=$M$3,$O$3,IF(F12=$M$4,$O$4,""))</f>
        <v/>
      </c>
      <c r="H12" s="226" t="str">
        <f t="shared" si="0"/>
        <v/>
      </c>
      <c r="I12" s="246">
        <f>IF(F12="",1,0)</f>
        <v>1</v>
      </c>
    </row>
    <row r="13" spans="2:15" ht="15.75" thickBot="1" x14ac:dyDescent="0.25">
      <c r="B13" s="204"/>
      <c r="C13" s="51"/>
      <c r="D13" s="51"/>
      <c r="E13" s="51"/>
      <c r="F13" s="51"/>
      <c r="G13" s="51"/>
      <c r="H13" s="51"/>
      <c r="I13" s="205"/>
    </row>
    <row r="14" spans="2:15" ht="15.75" thickBot="1" x14ac:dyDescent="0.25"/>
    <row r="15" spans="2:15" x14ac:dyDescent="0.2">
      <c r="B15" s="241"/>
      <c r="C15" s="242"/>
      <c r="D15" s="242"/>
      <c r="E15" s="242"/>
      <c r="F15" s="242"/>
      <c r="G15" s="242"/>
      <c r="H15" s="242"/>
      <c r="I15" s="243"/>
    </row>
    <row r="16" spans="2:15" ht="23.25" x14ac:dyDescent="0.35">
      <c r="B16" s="45"/>
      <c r="C16" s="866" t="str">
        <f>IF(C8="","",IF(SUMPRODUCT(B8:B12,I8:I12)&lt;&gt;0,"Ocjena kriterija nije završena!", "Sva vodna tijela su ocijenjena!"))</f>
        <v/>
      </c>
      <c r="D16" s="866"/>
      <c r="E16" s="866"/>
      <c r="F16" s="866"/>
      <c r="G16" s="866"/>
      <c r="H16" s="631">
        <f>IF(C8="",0,IF(SUMPRODUCT(B8:B12,I8:I12)&lt;&gt;0,0,1))</f>
        <v>0</v>
      </c>
      <c r="I16" s="49"/>
    </row>
    <row r="17" spans="2:9" ht="15.75" thickBot="1" x14ac:dyDescent="0.25">
      <c r="B17" s="204"/>
      <c r="C17" s="51"/>
      <c r="D17" s="51"/>
      <c r="E17" s="51"/>
      <c r="F17" s="51"/>
      <c r="G17" s="51"/>
      <c r="H17" s="51"/>
      <c r="I17" s="205"/>
    </row>
  </sheetData>
  <sheetProtection algorithmName="SHA-512" hashValue="q5u4qdJA7fbhwAsAiwalTUSuwJU6BSIGfk/dRnTLE0ToGViNqfsGJmdoLYPn3ca1RxD85LYgbNPi3yFyCjvM/w==" saltValue="9frP0n99nl/hstiXxDvM+Q==" spinCount="100000" sheet="1" objects="1" scenarios="1"/>
  <mergeCells count="7">
    <mergeCell ref="D12:E12"/>
    <mergeCell ref="C16:G16"/>
    <mergeCell ref="D7:E7"/>
    <mergeCell ref="D8:E8"/>
    <mergeCell ref="D9:E9"/>
    <mergeCell ref="D10:E10"/>
    <mergeCell ref="D11:E11"/>
  </mergeCells>
  <conditionalFormatting sqref="C8:C12">
    <cfRule type="expression" dxfId="193" priority="14">
      <formula>$C8="n.a."</formula>
    </cfRule>
  </conditionalFormatting>
  <conditionalFormatting sqref="F8:F12">
    <cfRule type="expression" dxfId="192" priority="12">
      <formula>B8&lt;&gt;1</formula>
    </cfRule>
  </conditionalFormatting>
  <conditionalFormatting sqref="G8:G12">
    <cfRule type="expression" dxfId="191" priority="11">
      <formula>B8&lt;&gt;1</formula>
    </cfRule>
  </conditionalFormatting>
  <conditionalFormatting sqref="H8:H12">
    <cfRule type="expression" dxfId="190" priority="8">
      <formula>B8=1</formula>
    </cfRule>
  </conditionalFormatting>
  <conditionalFormatting sqref="C16">
    <cfRule type="expression" dxfId="189" priority="5">
      <formula>SUMPRODUCT($B$8:$B$12,$I$8:$I$12)=0</formula>
    </cfRule>
  </conditionalFormatting>
  <dataValidations count="1">
    <dataValidation type="list" allowBlank="1" showInputMessage="1" showErrorMessage="1" error="Wrong input!" prompt="Izaberite da li je ekološki status visok" sqref="F8:F12" xr:uid="{00000000-0002-0000-1C00-000000000000}">
      <formula1>$M$3:$M$5</formula1>
    </dataValidation>
  </dataValidations>
  <pageMargins left="0.7" right="0.7" top="0.78740157499999996" bottom="0.78740157499999996"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Tabelle28"/>
  <dimension ref="B1:P20"/>
  <sheetViews>
    <sheetView showGridLines="0" workbookViewId="0">
      <selection activeCell="M9" sqref="M9"/>
    </sheetView>
  </sheetViews>
  <sheetFormatPr defaultColWidth="10.875" defaultRowHeight="15" outlineLevelCol="1" x14ac:dyDescent="0.2"/>
  <cols>
    <col min="1" max="1" width="2.875" style="80" customWidth="1"/>
    <col min="2" max="2" width="4.125" style="80" customWidth="1"/>
    <col min="3" max="3" width="8.625" style="80" customWidth="1"/>
    <col min="4" max="4" width="10.875" style="80"/>
    <col min="5" max="5" width="12.375" style="80" customWidth="1"/>
    <col min="6" max="6" width="23" style="80" customWidth="1"/>
    <col min="7" max="7" width="17.5" style="80" customWidth="1"/>
    <col min="8" max="8" width="10.625" style="80" customWidth="1"/>
    <col min="9" max="9" width="4.125" style="80" customWidth="1"/>
    <col min="10" max="12" width="10.875" style="80"/>
    <col min="13" max="13" width="30.625" style="80" customWidth="1" outlineLevel="1"/>
    <col min="14" max="14" width="10.5" style="80" customWidth="1" outlineLevel="1"/>
    <col min="15" max="15" width="9.625" style="80" customWidth="1" outlineLevel="1"/>
    <col min="16" max="16" width="22" style="80" customWidth="1" outlineLevel="1"/>
    <col min="17" max="16384" width="10.875" style="80"/>
  </cols>
  <sheetData>
    <row r="1" spans="2:16" s="1" customFormat="1" ht="17.100000000000001" customHeight="1" thickBot="1" x14ac:dyDescent="0.25">
      <c r="C1" s="24"/>
      <c r="D1" s="24"/>
      <c r="E1" s="24"/>
      <c r="G1" s="25"/>
      <c r="H1" s="25"/>
    </row>
    <row r="2" spans="2:16" s="1" customFormat="1" ht="14.1" customHeight="1" thickBot="1" x14ac:dyDescent="0.25">
      <c r="B2" s="182"/>
      <c r="C2" s="183"/>
      <c r="D2" s="183"/>
      <c r="E2" s="183"/>
      <c r="F2" s="184"/>
      <c r="G2" s="184"/>
      <c r="H2" s="184"/>
      <c r="I2" s="185"/>
      <c r="K2" s="25"/>
      <c r="M2" s="182" t="s">
        <v>283</v>
      </c>
      <c r="N2" s="184"/>
      <c r="O2" s="184"/>
      <c r="P2" s="185"/>
    </row>
    <row r="3" spans="2:16" s="1" customFormat="1" ht="17.100000000000001" customHeight="1" x14ac:dyDescent="0.2">
      <c r="B3" s="47"/>
      <c r="C3" s="186" t="s">
        <v>279</v>
      </c>
      <c r="D3" s="186"/>
      <c r="E3" s="186"/>
      <c r="F3" s="186"/>
      <c r="G3" s="186"/>
      <c r="H3" s="186"/>
      <c r="I3" s="187"/>
      <c r="K3" s="25"/>
      <c r="M3" s="217" t="s">
        <v>284</v>
      </c>
      <c r="N3" s="218">
        <v>0</v>
      </c>
      <c r="O3" s="218">
        <v>3</v>
      </c>
      <c r="P3" s="219" t="s">
        <v>270</v>
      </c>
    </row>
    <row r="4" spans="2:16" s="1" customFormat="1" ht="17.100000000000001" customHeight="1" thickBot="1" x14ac:dyDescent="0.25">
      <c r="B4" s="188"/>
      <c r="C4" s="189"/>
      <c r="D4" s="189"/>
      <c r="E4" s="189"/>
      <c r="F4" s="189"/>
      <c r="G4" s="189"/>
      <c r="H4" s="189"/>
      <c r="I4" s="190"/>
      <c r="K4" s="25"/>
      <c r="M4" s="220" t="s">
        <v>285</v>
      </c>
      <c r="N4" s="216">
        <v>10</v>
      </c>
      <c r="O4" s="216">
        <v>2</v>
      </c>
      <c r="P4" s="221" t="s">
        <v>271</v>
      </c>
    </row>
    <row r="5" spans="2:16" s="1" customFormat="1" ht="14.1" customHeight="1" thickBot="1" x14ac:dyDescent="0.25">
      <c r="M5" s="222" t="s">
        <v>286</v>
      </c>
      <c r="N5" s="223">
        <v>30.000000001</v>
      </c>
      <c r="O5" s="223">
        <v>1</v>
      </c>
      <c r="P5" s="224" t="s">
        <v>272</v>
      </c>
    </row>
    <row r="6" spans="2:16" s="1" customFormat="1" ht="13.5" thickBot="1" x14ac:dyDescent="0.25">
      <c r="B6" s="182"/>
      <c r="C6" s="184"/>
      <c r="D6" s="184"/>
      <c r="E6" s="184"/>
      <c r="F6" s="11"/>
      <c r="G6" s="11"/>
      <c r="H6" s="11"/>
      <c r="I6" s="20"/>
    </row>
    <row r="7" spans="2:16" s="179" customFormat="1" ht="35.1" customHeight="1" thickBot="1" x14ac:dyDescent="0.25">
      <c r="B7" s="194"/>
      <c r="C7" s="208" t="s">
        <v>280</v>
      </c>
      <c r="D7" s="868" t="s">
        <v>281</v>
      </c>
      <c r="E7" s="869"/>
      <c r="F7" s="208" t="s">
        <v>282</v>
      </c>
      <c r="G7" s="209" t="s">
        <v>80</v>
      </c>
      <c r="H7" s="208" t="s">
        <v>145</v>
      </c>
      <c r="I7" s="21"/>
    </row>
    <row r="8" spans="2:16" ht="33.950000000000003" customHeight="1" thickBot="1" x14ac:dyDescent="0.25">
      <c r="B8" s="197" t="str">
        <f>'Unos podataka'!F14</f>
        <v/>
      </c>
      <c r="C8" s="200" t="str">
        <f>'Unos podataka'!G14</f>
        <v/>
      </c>
      <c r="D8" s="870" t="str">
        <f>IF(B8&lt;&gt;"",'Unos podataka'!H14,"")</f>
        <v/>
      </c>
      <c r="E8" s="867"/>
      <c r="F8" s="594"/>
      <c r="G8" s="210" t="str">
        <f>IF(F8&lt;&gt;"",VLOOKUP(F8,$N$3:$P$5,3),"")</f>
        <v/>
      </c>
      <c r="H8" s="225" t="str">
        <f>IF(F8&lt;&gt;"","***","")</f>
        <v/>
      </c>
      <c r="I8" s="246">
        <f>IF(F8="",1,0)</f>
        <v>1</v>
      </c>
    </row>
    <row r="9" spans="2:16" ht="33.950000000000003" customHeight="1" thickBot="1" x14ac:dyDescent="0.25">
      <c r="B9" s="197" t="str">
        <f>'Unos podataka'!F15</f>
        <v/>
      </c>
      <c r="C9" s="200" t="str">
        <f>'Unos podataka'!G15</f>
        <v/>
      </c>
      <c r="D9" s="870" t="str">
        <f>IF(B9&lt;&gt;"",'Unos podataka'!H15,"")</f>
        <v/>
      </c>
      <c r="E9" s="867"/>
      <c r="F9" s="594"/>
      <c r="G9" s="210" t="str">
        <f>IF(F9&lt;&gt;"",VLOOKUP(F9,$N$3:$P$5,3),"")</f>
        <v/>
      </c>
      <c r="H9" s="225" t="str">
        <f>IF(F9&lt;&gt;"","***","")</f>
        <v/>
      </c>
      <c r="I9" s="246">
        <f>IF(F9="",1,0)</f>
        <v>1</v>
      </c>
    </row>
    <row r="10" spans="2:16" ht="33.950000000000003" customHeight="1" thickBot="1" x14ac:dyDescent="0.25">
      <c r="B10" s="197" t="str">
        <f>'Unos podataka'!F16</f>
        <v/>
      </c>
      <c r="C10" s="200" t="str">
        <f>'Unos podataka'!G16</f>
        <v/>
      </c>
      <c r="D10" s="870" t="str">
        <f>IF(B10&lt;&gt;"",'Unos podataka'!H16,"")</f>
        <v/>
      </c>
      <c r="E10" s="867"/>
      <c r="F10" s="594"/>
      <c r="G10" s="210" t="str">
        <f>IF(F10&lt;&gt;"",VLOOKUP(F10,$N$3:$P$5,3),"")</f>
        <v/>
      </c>
      <c r="H10" s="225" t="str">
        <f t="shared" ref="H10:H12" si="0">IF(F10&lt;&gt;"","***","")</f>
        <v/>
      </c>
      <c r="I10" s="246">
        <f>IF(F10="",1,0)</f>
        <v>1</v>
      </c>
    </row>
    <row r="11" spans="2:16" ht="33.950000000000003" customHeight="1" thickBot="1" x14ac:dyDescent="0.25">
      <c r="B11" s="197" t="str">
        <f>'Unos podataka'!F17</f>
        <v/>
      </c>
      <c r="C11" s="353" t="str">
        <f>'Unos podataka'!G17</f>
        <v/>
      </c>
      <c r="D11" s="870" t="str">
        <f>IF(B11&lt;&gt;"",'Unos podataka'!H17,"")</f>
        <v/>
      </c>
      <c r="E11" s="867"/>
      <c r="F11" s="594"/>
      <c r="G11" s="210" t="str">
        <f>IF(F11&lt;&gt;"",VLOOKUP(F11,$N$3:$P$5,3),"")</f>
        <v/>
      </c>
      <c r="H11" s="225" t="str">
        <f t="shared" si="0"/>
        <v/>
      </c>
      <c r="I11" s="246">
        <f>IF(F11="",1,0)</f>
        <v>1</v>
      </c>
    </row>
    <row r="12" spans="2:16" ht="33.950000000000003" customHeight="1" thickBot="1" x14ac:dyDescent="0.25">
      <c r="B12" s="197" t="str">
        <f>'Unos podataka'!F18</f>
        <v/>
      </c>
      <c r="C12" s="586" t="str">
        <f>'Unos podataka'!G18</f>
        <v/>
      </c>
      <c r="D12" s="867" t="str">
        <f>IF(B12&lt;&gt;"",'Unos podataka'!H18,"")</f>
        <v/>
      </c>
      <c r="E12" s="867"/>
      <c r="F12" s="594"/>
      <c r="G12" s="587" t="str">
        <f>IF(F12&lt;&gt;"",VLOOKUP(F12,$N$3:$P$5,3),"")</f>
        <v/>
      </c>
      <c r="H12" s="588" t="str">
        <f t="shared" si="0"/>
        <v/>
      </c>
      <c r="I12" s="246">
        <f>IF(F12="",1,0)</f>
        <v>1</v>
      </c>
    </row>
    <row r="13" spans="2:16" ht="15.75" thickBot="1" x14ac:dyDescent="0.25">
      <c r="B13" s="204"/>
      <c r="C13" s="51"/>
      <c r="D13" s="51"/>
      <c r="E13" s="51"/>
      <c r="F13" s="51"/>
      <c r="G13" s="51"/>
      <c r="H13" s="51"/>
      <c r="I13" s="205"/>
    </row>
    <row r="14" spans="2:16" ht="15.75" thickBot="1" x14ac:dyDescent="0.25"/>
    <row r="15" spans="2:16" x14ac:dyDescent="0.2">
      <c r="B15" s="241"/>
      <c r="C15" s="242"/>
      <c r="D15" s="242"/>
      <c r="E15" s="242"/>
      <c r="F15" s="242"/>
      <c r="G15" s="242"/>
      <c r="H15" s="242"/>
      <c r="I15" s="243"/>
    </row>
    <row r="16" spans="2:16" ht="23.25" x14ac:dyDescent="0.35">
      <c r="B16" s="45"/>
      <c r="C16" s="866" t="str">
        <f>IF(C8="","",IF(SUMPRODUCT(B8:B12,I8:I12)&lt;&gt;0,"Ocjena kriterija nije završena!", "Sva vodna tijela su ocijenjena!"))</f>
        <v/>
      </c>
      <c r="D16" s="866"/>
      <c r="E16" s="866"/>
      <c r="F16" s="866"/>
      <c r="G16" s="866"/>
      <c r="H16" s="631">
        <f>IF(C8="",0,IF(SUMPRODUCT(B8:B12,I8:I12)&lt;&gt;0,0,1))</f>
        <v>0</v>
      </c>
      <c r="I16" s="49"/>
    </row>
    <row r="17" spans="2:9" ht="15.75" thickBot="1" x14ac:dyDescent="0.25">
      <c r="B17" s="204"/>
      <c r="C17" s="51"/>
      <c r="D17" s="51"/>
      <c r="E17" s="51"/>
      <c r="F17" s="51"/>
      <c r="G17" s="51"/>
      <c r="H17" s="51"/>
      <c r="I17" s="205"/>
    </row>
    <row r="20" spans="2:9" x14ac:dyDescent="0.2">
      <c r="B20" s="671"/>
      <c r="C20" s="671"/>
      <c r="D20" s="671"/>
      <c r="E20" s="671"/>
      <c r="F20" s="671"/>
      <c r="G20" s="671"/>
      <c r="H20" s="671"/>
      <c r="I20" s="671"/>
    </row>
  </sheetData>
  <sheetProtection algorithmName="SHA-512" hashValue="7rZEBLM3Avm6QV5y1KYXaZqRG1qh0OhC9fQhlt5fyPovWMZzEyqL8PhwhgZ1e4C+rZERILf7CAQYS3R0VOAeIg==" saltValue="Ifg2ykknbBcWvQp6Z3dg2A==" spinCount="100000" sheet="1" objects="1" scenarios="1"/>
  <mergeCells count="7">
    <mergeCell ref="D12:E12"/>
    <mergeCell ref="C16:G16"/>
    <mergeCell ref="D7:E7"/>
    <mergeCell ref="D8:E8"/>
    <mergeCell ref="D9:E9"/>
    <mergeCell ref="D10:E10"/>
    <mergeCell ref="D11:E11"/>
  </mergeCells>
  <conditionalFormatting sqref="C8:C12">
    <cfRule type="expression" dxfId="188" priority="14">
      <formula>$C8="n.a."</formula>
    </cfRule>
  </conditionalFormatting>
  <conditionalFormatting sqref="F8:F12">
    <cfRule type="expression" dxfId="187" priority="12">
      <formula>B8&lt;&gt;1</formula>
    </cfRule>
  </conditionalFormatting>
  <conditionalFormatting sqref="G8:G12">
    <cfRule type="expression" dxfId="186" priority="11">
      <formula>B8&lt;&gt;1</formula>
    </cfRule>
  </conditionalFormatting>
  <conditionalFormatting sqref="H9:H12">
    <cfRule type="expression" dxfId="185" priority="5">
      <formula>B9=1</formula>
    </cfRule>
  </conditionalFormatting>
  <conditionalFormatting sqref="H8">
    <cfRule type="expression" dxfId="184" priority="8">
      <formula>B8=1</formula>
    </cfRule>
  </conditionalFormatting>
  <conditionalFormatting sqref="C16">
    <cfRule type="expression" dxfId="183" priority="1">
      <formula>SUMPRODUCT($B$8:$B$12,$I$8:$I$12)=0</formula>
    </cfRule>
  </conditionalFormatting>
  <dataValidations count="1">
    <dataValidation allowBlank="1" showInputMessage="1" showErrorMessage="1" prompt="Unesite površinu sliva u km2" sqref="F8:F12" xr:uid="{70387444-38D0-2145-9F6F-CBBE049F7A84}"/>
  </dataValidation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Tabelle29"/>
  <dimension ref="B1:AB18"/>
  <sheetViews>
    <sheetView showGridLines="0" workbookViewId="0">
      <selection activeCell="I24" sqref="I24"/>
    </sheetView>
  </sheetViews>
  <sheetFormatPr defaultColWidth="10.875" defaultRowHeight="15.75" outlineLevelCol="1" x14ac:dyDescent="0.25"/>
  <cols>
    <col min="1" max="1" width="2.875" style="80" customWidth="1"/>
    <col min="2" max="2" width="4.125" style="80" customWidth="1"/>
    <col min="3" max="3" width="8.625" style="80" customWidth="1"/>
    <col min="4" max="4" width="10.875" style="80"/>
    <col min="5" max="5" width="12.375" style="80" customWidth="1"/>
    <col min="6" max="6" width="47.375" style="80" customWidth="1"/>
    <col min="7" max="7" width="18.375" style="80" customWidth="1"/>
    <col min="8" max="8" width="10.625" style="80" customWidth="1"/>
    <col min="9" max="9" width="32.375" style="80" customWidth="1"/>
    <col min="10" max="10" width="18.875" style="80" customWidth="1"/>
    <col min="11" max="11" width="11"/>
    <col min="12" max="12" width="4.125" style="80" customWidth="1"/>
    <col min="13" max="14" width="10.875" style="80"/>
    <col min="15" max="15" width="10.875" style="80" outlineLevel="1"/>
    <col min="16" max="16" width="76.625" style="80" customWidth="1" outlineLevel="1"/>
    <col min="17" max="17" width="8.375" style="80" customWidth="1" outlineLevel="1"/>
    <col min="18" max="18" width="13.875" style="80" customWidth="1" outlineLevel="1"/>
    <col min="19" max="19" width="9.125" style="80" customWidth="1" outlineLevel="1"/>
    <col min="20" max="20" width="5" style="80" customWidth="1" outlineLevel="1"/>
    <col min="21" max="21" width="44.375" style="80" customWidth="1" outlineLevel="1"/>
    <col min="22" max="22" width="10.875" style="80" outlineLevel="1"/>
    <col min="23" max="23" width="21.875" style="80" customWidth="1" outlineLevel="1"/>
    <col min="24" max="27" width="10.875" style="80" outlineLevel="1"/>
    <col min="28" max="28" width="21.5" style="80" customWidth="1" outlineLevel="1"/>
    <col min="29" max="16384" width="10.875" style="80"/>
  </cols>
  <sheetData>
    <row r="1" spans="2:28" s="1" customFormat="1" ht="17.100000000000001" customHeight="1" thickBot="1" x14ac:dyDescent="0.25">
      <c r="C1" s="24"/>
      <c r="D1" s="24"/>
      <c r="E1" s="24"/>
      <c r="G1" s="25"/>
      <c r="H1" s="25"/>
      <c r="I1" s="25"/>
      <c r="J1" s="25"/>
    </row>
    <row r="2" spans="2:28" s="1" customFormat="1" ht="14.1" customHeight="1" x14ac:dyDescent="0.2">
      <c r="B2" s="182"/>
      <c r="C2" s="183"/>
      <c r="D2" s="183"/>
      <c r="E2" s="183"/>
      <c r="F2" s="184"/>
      <c r="G2" s="184"/>
      <c r="H2" s="184"/>
      <c r="I2" s="184"/>
      <c r="J2" s="184"/>
      <c r="K2" s="184"/>
      <c r="L2" s="185"/>
      <c r="P2" s="642" t="s">
        <v>503</v>
      </c>
      <c r="Q2" s="643"/>
      <c r="R2" s="643"/>
      <c r="S2" s="644"/>
      <c r="U2" s="235" t="s">
        <v>506</v>
      </c>
      <c r="V2" s="236"/>
      <c r="W2" s="236"/>
      <c r="X2" s="237"/>
    </row>
    <row r="3" spans="2:28" s="1" customFormat="1" ht="17.100000000000001" customHeight="1" x14ac:dyDescent="0.2">
      <c r="B3" s="47"/>
      <c r="C3" s="186" t="s">
        <v>500</v>
      </c>
      <c r="D3" s="186"/>
      <c r="E3" s="186"/>
      <c r="F3" s="186"/>
      <c r="G3" s="186"/>
      <c r="H3" s="186"/>
      <c r="I3" s="186"/>
      <c r="J3" s="186"/>
      <c r="K3" s="186"/>
      <c r="L3" s="187"/>
      <c r="P3" s="645" t="s">
        <v>504</v>
      </c>
      <c r="Q3" s="239"/>
      <c r="R3" s="239" t="s">
        <v>296</v>
      </c>
      <c r="S3" s="646" t="s">
        <v>145</v>
      </c>
      <c r="U3" s="238" t="s">
        <v>298</v>
      </c>
      <c r="V3" s="239"/>
      <c r="W3" s="239" t="s">
        <v>296</v>
      </c>
      <c r="X3" s="240" t="s">
        <v>29</v>
      </c>
    </row>
    <row r="4" spans="2:28" s="1" customFormat="1" ht="17.100000000000001" customHeight="1" thickBot="1" x14ac:dyDescent="0.25">
      <c r="B4" s="188"/>
      <c r="C4" s="189"/>
      <c r="D4" s="189"/>
      <c r="E4" s="189"/>
      <c r="F4" s="189"/>
      <c r="G4" s="189"/>
      <c r="H4" s="189"/>
      <c r="I4" s="189"/>
      <c r="J4" s="189"/>
      <c r="K4" s="189"/>
      <c r="L4" s="190"/>
      <c r="P4" s="647" t="s">
        <v>505</v>
      </c>
      <c r="Q4" s="216">
        <v>1</v>
      </c>
      <c r="R4" s="215" t="s">
        <v>297</v>
      </c>
      <c r="S4" s="648" t="s">
        <v>27</v>
      </c>
      <c r="T4" s="203"/>
      <c r="U4" s="230" t="s">
        <v>299</v>
      </c>
      <c r="V4" s="216">
        <v>1</v>
      </c>
      <c r="W4" s="215" t="s">
        <v>297</v>
      </c>
      <c r="X4" s="232" t="s">
        <v>1</v>
      </c>
    </row>
    <row r="5" spans="2:28" s="1" customFormat="1" ht="14.1" customHeight="1" thickBot="1" x14ac:dyDescent="0.25">
      <c r="P5" s="647" t="s">
        <v>289</v>
      </c>
      <c r="Q5" s="216">
        <v>2</v>
      </c>
      <c r="R5" s="215" t="s">
        <v>270</v>
      </c>
      <c r="S5" s="648" t="s">
        <v>27</v>
      </c>
      <c r="T5" s="203"/>
      <c r="U5" s="230" t="s">
        <v>300</v>
      </c>
      <c r="V5" s="216">
        <v>2</v>
      </c>
      <c r="W5" s="215" t="s">
        <v>270</v>
      </c>
      <c r="X5" s="232" t="s">
        <v>1</v>
      </c>
    </row>
    <row r="6" spans="2:28" s="1" customFormat="1" ht="13.5" thickBot="1" x14ac:dyDescent="0.25">
      <c r="B6" s="182"/>
      <c r="C6" s="184"/>
      <c r="D6" s="184"/>
      <c r="E6" s="184"/>
      <c r="F6" s="11"/>
      <c r="G6" s="11"/>
      <c r="H6" s="11"/>
      <c r="I6" s="11"/>
      <c r="J6" s="11"/>
      <c r="K6" s="11"/>
      <c r="L6" s="20"/>
      <c r="P6" s="647" t="s">
        <v>290</v>
      </c>
      <c r="Q6" s="216">
        <v>3</v>
      </c>
      <c r="R6" s="215" t="s">
        <v>270</v>
      </c>
      <c r="S6" s="648" t="s">
        <v>27</v>
      </c>
      <c r="T6" s="203"/>
      <c r="U6" s="230" t="s">
        <v>301</v>
      </c>
      <c r="V6" s="216">
        <v>3</v>
      </c>
      <c r="W6" s="215" t="s">
        <v>270</v>
      </c>
      <c r="X6" s="232" t="s">
        <v>1</v>
      </c>
    </row>
    <row r="7" spans="2:28" s="179" customFormat="1" ht="35.1" customHeight="1" thickBot="1" x14ac:dyDescent="0.25">
      <c r="B7" s="194"/>
      <c r="C7" s="208" t="s">
        <v>280</v>
      </c>
      <c r="D7" s="868" t="s">
        <v>74</v>
      </c>
      <c r="E7" s="869"/>
      <c r="F7" s="209" t="s">
        <v>501</v>
      </c>
      <c r="G7" s="208" t="s">
        <v>526</v>
      </c>
      <c r="H7" s="208" t="s">
        <v>145</v>
      </c>
      <c r="I7" s="208" t="s">
        <v>502</v>
      </c>
      <c r="J7" s="208" t="s">
        <v>526</v>
      </c>
      <c r="K7" s="208" t="s">
        <v>145</v>
      </c>
      <c r="L7" s="21"/>
      <c r="P7" s="647" t="s">
        <v>291</v>
      </c>
      <c r="Q7" s="216">
        <v>4</v>
      </c>
      <c r="R7" s="215" t="s">
        <v>270</v>
      </c>
      <c r="S7" s="648" t="s">
        <v>27</v>
      </c>
      <c r="T7" s="203"/>
      <c r="U7" s="230" t="s">
        <v>303</v>
      </c>
      <c r="V7" s="216">
        <v>4</v>
      </c>
      <c r="W7" s="215" t="s">
        <v>270</v>
      </c>
      <c r="X7" s="232" t="s">
        <v>1</v>
      </c>
      <c r="Z7" s="1"/>
      <c r="AA7" s="1"/>
      <c r="AB7" s="1"/>
    </row>
    <row r="8" spans="2:28" ht="33.950000000000003" customHeight="1" thickBot="1" x14ac:dyDescent="0.25">
      <c r="B8" s="197" t="str">
        <f>'Unos podataka'!F14</f>
        <v/>
      </c>
      <c r="C8" s="200" t="str">
        <f>'Unos podataka'!G14</f>
        <v/>
      </c>
      <c r="D8" s="870" t="str">
        <f>IF(B8&lt;&gt;"",'Unos podataka'!H14,"")</f>
        <v/>
      </c>
      <c r="E8" s="867"/>
      <c r="F8" s="593"/>
      <c r="G8" s="210" t="str">
        <f>IF(F8="","",VLOOKUP(MATCH(F8,$P$4:$P$11,0),Q$4:$R11,2))</f>
        <v/>
      </c>
      <c r="H8" s="212" t="str">
        <f>IF(F8="","",VLOOKUP(MATCH(F8,$P$4:$P$12,0),Q$4:$S12,3))</f>
        <v/>
      </c>
      <c r="I8" s="593"/>
      <c r="J8" s="210" t="str">
        <f>IF(I8="","",VLOOKUP(MATCH(I8,$U$4:$U$12,0),$V$4:W12,2))</f>
        <v/>
      </c>
      <c r="K8" s="212" t="str">
        <f>IF(AND(B8=1,I8&lt;&gt;""),"*","")</f>
        <v/>
      </c>
      <c r="L8" s="246">
        <f>IF(OR(F8="",I8=""),1,0)</f>
        <v>1</v>
      </c>
      <c r="P8" s="647" t="s">
        <v>292</v>
      </c>
      <c r="Q8" s="216">
        <v>5</v>
      </c>
      <c r="R8" s="215" t="s">
        <v>270</v>
      </c>
      <c r="S8" s="648" t="s">
        <v>27</v>
      </c>
      <c r="T8" s="203"/>
      <c r="U8" s="230" t="s">
        <v>302</v>
      </c>
      <c r="V8" s="216">
        <v>5</v>
      </c>
      <c r="W8" s="215" t="s">
        <v>270</v>
      </c>
      <c r="X8" s="232" t="s">
        <v>1</v>
      </c>
    </row>
    <row r="9" spans="2:28" ht="33.950000000000003" customHeight="1" thickBot="1" x14ac:dyDescent="0.25">
      <c r="B9" s="197" t="str">
        <f>'Unos podataka'!F15</f>
        <v/>
      </c>
      <c r="C9" s="200" t="str">
        <f>'Unos podataka'!G15</f>
        <v/>
      </c>
      <c r="D9" s="870" t="str">
        <f>IF(B9&lt;&gt;"",'Unos podataka'!H15,"")</f>
        <v/>
      </c>
      <c r="E9" s="867"/>
      <c r="F9" s="593"/>
      <c r="G9" s="210" t="str">
        <f>IF(F9="","",VLOOKUP(MATCH(F9,$P$4:$P$12,0),Q$4:$R12,2))</f>
        <v/>
      </c>
      <c r="H9" s="212" t="str">
        <f>IF(F9="","",VLOOKUP(MATCH(F9,$P$4:$P$12,0),Q$4:$S12,3))</f>
        <v/>
      </c>
      <c r="I9" s="593"/>
      <c r="J9" s="210" t="str">
        <f>IF(I9="","",VLOOKUP(MATCH(I9,$U$4:$U$12,0),$V$4:W13,2))</f>
        <v/>
      </c>
      <c r="K9" s="212" t="str">
        <f>IF(AND(B9=1,I9&lt;&gt;""),"*","")</f>
        <v/>
      </c>
      <c r="L9" s="246">
        <f>IF(OR(F9="",I9=""),1,0)</f>
        <v>1</v>
      </c>
      <c r="P9" s="647" t="s">
        <v>293</v>
      </c>
      <c r="Q9" s="216">
        <v>6</v>
      </c>
      <c r="R9" s="215" t="s">
        <v>270</v>
      </c>
      <c r="S9" s="648" t="s">
        <v>27</v>
      </c>
      <c r="T9" s="203"/>
      <c r="U9" s="230" t="s">
        <v>304</v>
      </c>
      <c r="V9" s="216">
        <v>6</v>
      </c>
      <c r="W9" s="215" t="s">
        <v>270</v>
      </c>
      <c r="X9" s="232" t="s">
        <v>1</v>
      </c>
    </row>
    <row r="10" spans="2:28" ht="33.950000000000003" customHeight="1" thickBot="1" x14ac:dyDescent="0.25">
      <c r="B10" s="197" t="str">
        <f>'Unos podataka'!F16</f>
        <v/>
      </c>
      <c r="C10" s="200" t="str">
        <f>'Unos podataka'!G16</f>
        <v/>
      </c>
      <c r="D10" s="870" t="str">
        <f>IF(B10&lt;&gt;"",'Unos podataka'!H16,"")</f>
        <v/>
      </c>
      <c r="E10" s="867"/>
      <c r="F10" s="593"/>
      <c r="G10" s="210" t="str">
        <f>IF(F10="","",VLOOKUP(MATCH(F10,$P$4:$P$12,0),Q$4:$R13,2))</f>
        <v/>
      </c>
      <c r="H10" s="212" t="str">
        <f>IF(F10="","",VLOOKUP(MATCH(F10,$P$4:$P$12,0),Q$4:$S13,3))</f>
        <v/>
      </c>
      <c r="I10" s="593"/>
      <c r="J10" s="210" t="str">
        <f>IF(I10="","",VLOOKUP(MATCH(I10,$U$4:$U$12,0),$V$4:W14,2))</f>
        <v/>
      </c>
      <c r="K10" s="212" t="str">
        <f>IF(AND(B10=1,I10&lt;&gt;""),"*","")</f>
        <v/>
      </c>
      <c r="L10" s="246">
        <f>IF(OR(F10="",I10=""),1,0)</f>
        <v>1</v>
      </c>
      <c r="P10" s="647" t="s">
        <v>295</v>
      </c>
      <c r="Q10" s="216">
        <v>7</v>
      </c>
      <c r="R10" s="215" t="s">
        <v>270</v>
      </c>
      <c r="S10" s="648" t="s">
        <v>27</v>
      </c>
      <c r="T10" s="229"/>
      <c r="U10" s="230" t="s">
        <v>305</v>
      </c>
      <c r="V10" s="216">
        <v>7</v>
      </c>
      <c r="W10" s="215" t="s">
        <v>271</v>
      </c>
      <c r="X10" s="232" t="s">
        <v>1</v>
      </c>
    </row>
    <row r="11" spans="2:28" ht="33.950000000000003" customHeight="1" thickBot="1" x14ac:dyDescent="0.25">
      <c r="B11" s="197" t="str">
        <f>'Unos podataka'!F17</f>
        <v/>
      </c>
      <c r="C11" s="353" t="str">
        <f>'Unos podataka'!G17</f>
        <v/>
      </c>
      <c r="D11" s="870" t="str">
        <f>IF(B11&lt;&gt;"",'Unos podataka'!H17,"")</f>
        <v/>
      </c>
      <c r="E11" s="867"/>
      <c r="F11" s="593"/>
      <c r="G11" s="210" t="str">
        <f>IF(F11="","",VLOOKUP(MATCH(F11,$P$4:$P$12,0),Q$4:$R14,2))</f>
        <v/>
      </c>
      <c r="H11" s="212" t="str">
        <f>IF(F11="","",VLOOKUP(MATCH(F11,$P$4:$P$12,0),Q$4:$S14,3))</f>
        <v/>
      </c>
      <c r="I11" s="593"/>
      <c r="J11" s="210" t="str">
        <f>IF(I11="","",VLOOKUP(MATCH(I11,$U$4:$U$12,0),$V$4:W15,2))</f>
        <v/>
      </c>
      <c r="K11" s="212" t="str">
        <f>IF(AND(B11=1,I11&lt;&gt;""),"*","")</f>
        <v/>
      </c>
      <c r="L11" s="246">
        <f>IF(OR(F11="",I11=""),1,0)</f>
        <v>1</v>
      </c>
      <c r="P11" s="649" t="s">
        <v>294</v>
      </c>
      <c r="Q11" s="650">
        <v>8</v>
      </c>
      <c r="R11" s="651" t="s">
        <v>271</v>
      </c>
      <c r="S11" s="652" t="s">
        <v>1</v>
      </c>
      <c r="T11" s="229"/>
      <c r="U11" s="230" t="s">
        <v>306</v>
      </c>
      <c r="V11" s="216">
        <v>8</v>
      </c>
      <c r="W11" s="215" t="s">
        <v>271</v>
      </c>
      <c r="X11" s="232" t="s">
        <v>1</v>
      </c>
    </row>
    <row r="12" spans="2:28" ht="33.950000000000003" customHeight="1" thickBot="1" x14ac:dyDescent="0.25">
      <c r="B12" s="197" t="str">
        <f>'Unos podataka'!F18</f>
        <v/>
      </c>
      <c r="C12" s="586" t="str">
        <f>'Unos podataka'!G18</f>
        <v/>
      </c>
      <c r="D12" s="867" t="str">
        <f>IF(B12&lt;&gt;"",'Unos podataka'!H18,"")</f>
        <v/>
      </c>
      <c r="E12" s="867"/>
      <c r="F12" s="593"/>
      <c r="G12" s="210" t="str">
        <f>IF(F12="","",VLOOKUP(MATCH(F12,$P$4:$P$12,0),Q$4:$R15,2))</f>
        <v/>
      </c>
      <c r="H12" s="213" t="str">
        <f>IF(F12="","",VLOOKUP(MATCH(F12,$P$4:$P$12,0),Q$4:$S15,3))</f>
        <v/>
      </c>
      <c r="I12" s="593"/>
      <c r="J12" s="210" t="str">
        <f>IF(I12="","",VLOOKUP(MATCH(I12,$U$4:$U$12,0),$V$4:W16,2))</f>
        <v/>
      </c>
      <c r="K12" s="213" t="str">
        <f>IF(AND(B12=1,I12&lt;&gt;""),"*","")</f>
        <v/>
      </c>
      <c r="L12" s="246">
        <f>IF(OR(F12="",I12=""),1,0)</f>
        <v>1</v>
      </c>
      <c r="U12" s="231" t="s">
        <v>307</v>
      </c>
      <c r="V12" s="223">
        <v>9</v>
      </c>
      <c r="W12" s="233" t="s">
        <v>271</v>
      </c>
      <c r="X12" s="234" t="s">
        <v>1</v>
      </c>
    </row>
    <row r="13" spans="2:28" ht="17.100000000000001" customHeight="1" x14ac:dyDescent="0.2">
      <c r="B13" s="197"/>
      <c r="C13" s="46"/>
      <c r="D13" s="46"/>
      <c r="E13" s="46"/>
      <c r="F13" s="46"/>
      <c r="G13" s="46"/>
      <c r="H13" s="46"/>
      <c r="I13" s="46"/>
      <c r="J13" s="46"/>
      <c r="K13" s="46"/>
      <c r="L13" s="21"/>
      <c r="V13" s="203"/>
    </row>
    <row r="14" spans="2:28" thickBot="1" x14ac:dyDescent="0.25">
      <c r="B14" s="204"/>
      <c r="C14" s="51"/>
      <c r="D14" s="51"/>
      <c r="E14" s="51"/>
      <c r="F14" s="51"/>
      <c r="G14" s="51"/>
      <c r="H14" s="51"/>
      <c r="I14" s="51"/>
      <c r="J14" s="51"/>
      <c r="K14" s="51"/>
      <c r="L14" s="205"/>
    </row>
    <row r="15" spans="2:28" ht="16.5" thickBot="1" x14ac:dyDescent="0.3"/>
    <row r="16" spans="2:28" ht="15" x14ac:dyDescent="0.2">
      <c r="B16" s="241"/>
      <c r="C16" s="242"/>
      <c r="D16" s="242"/>
      <c r="E16" s="242"/>
      <c r="F16" s="242"/>
      <c r="G16" s="242"/>
      <c r="H16" s="242"/>
      <c r="I16" s="242"/>
      <c r="J16" s="242"/>
      <c r="K16" s="242"/>
      <c r="L16" s="243"/>
    </row>
    <row r="17" spans="2:12" ht="23.25" x14ac:dyDescent="0.35">
      <c r="B17" s="45"/>
      <c r="C17" s="866" t="str">
        <f>IF(C8="","",IF(SUMPRODUCT(B8:B12,L8:L12)&lt;&gt;0,"Ocjena kriterija nije završena!", "Sva vodna tijela su ocijenjena!"))</f>
        <v/>
      </c>
      <c r="D17" s="866"/>
      <c r="E17" s="866"/>
      <c r="F17" s="866"/>
      <c r="G17" s="866"/>
      <c r="H17" s="866"/>
      <c r="I17" s="866"/>
      <c r="J17" s="866"/>
      <c r="K17" s="631">
        <f>IF(C8="",0,IF(SUMPRODUCT(B8:B12,L8:L12)&lt;&gt;0,0,1))</f>
        <v>0</v>
      </c>
      <c r="L17" s="49"/>
    </row>
    <row r="18" spans="2:12" thickBot="1" x14ac:dyDescent="0.25">
      <c r="B18" s="204"/>
      <c r="C18" s="51"/>
      <c r="D18" s="51"/>
      <c r="E18" s="51"/>
      <c r="F18" s="51"/>
      <c r="G18" s="51"/>
      <c r="H18" s="51"/>
      <c r="I18" s="51"/>
      <c r="J18" s="51"/>
      <c r="K18" s="51"/>
      <c r="L18" s="205"/>
    </row>
  </sheetData>
  <sheetProtection algorithmName="SHA-512" hashValue="5jhXvHGq7+WH2DlIk+PgSkrWi+hM++ivCGLVwSzogN1wIlEVUdLoaAxAwfo6W/Oxfmqj2q7qS/m8jrcTHn2zYQ==" saltValue="wiAd0G2nC5CNcEop2FgvPg==" spinCount="100000" sheet="1" objects="1" scenarios="1"/>
  <mergeCells count="7">
    <mergeCell ref="D12:E12"/>
    <mergeCell ref="C17:J17"/>
    <mergeCell ref="D7:E7"/>
    <mergeCell ref="D8:E8"/>
    <mergeCell ref="D9:E9"/>
    <mergeCell ref="D10:E10"/>
    <mergeCell ref="D11:E11"/>
  </mergeCells>
  <conditionalFormatting sqref="C8:C12">
    <cfRule type="expression" dxfId="182" priority="53">
      <formula>$C8="n.a."</formula>
    </cfRule>
  </conditionalFormatting>
  <conditionalFormatting sqref="F8:F12">
    <cfRule type="expression" dxfId="181" priority="51">
      <formula>B8&lt;&gt;1</formula>
    </cfRule>
  </conditionalFormatting>
  <conditionalFormatting sqref="I8">
    <cfRule type="expression" dxfId="180" priority="48">
      <formula>B8&lt;&gt;1</formula>
    </cfRule>
  </conditionalFormatting>
  <conditionalFormatting sqref="G8">
    <cfRule type="expression" dxfId="179" priority="39">
      <formula>B8&lt;&gt;1</formula>
    </cfRule>
  </conditionalFormatting>
  <conditionalFormatting sqref="J8">
    <cfRule type="expression" dxfId="178" priority="30">
      <formula>B8&lt;&gt;1</formula>
    </cfRule>
  </conditionalFormatting>
  <conditionalFormatting sqref="C17">
    <cfRule type="expression" dxfId="177" priority="17">
      <formula>SUMPRODUCT($B$8:$B$12,$L$8:$L$12)=0</formula>
    </cfRule>
  </conditionalFormatting>
  <conditionalFormatting sqref="G9">
    <cfRule type="expression" dxfId="176" priority="12">
      <formula>B9&lt;&gt;1</formula>
    </cfRule>
  </conditionalFormatting>
  <conditionalFormatting sqref="G10">
    <cfRule type="expression" dxfId="175" priority="11">
      <formula>B10&lt;&gt;1</formula>
    </cfRule>
  </conditionalFormatting>
  <conditionalFormatting sqref="G11">
    <cfRule type="expression" dxfId="174" priority="10">
      <formula>B11&lt;&gt;1</formula>
    </cfRule>
  </conditionalFormatting>
  <conditionalFormatting sqref="G12">
    <cfRule type="expression" dxfId="173" priority="9">
      <formula>B12&lt;&gt;1</formula>
    </cfRule>
  </conditionalFormatting>
  <conditionalFormatting sqref="J9">
    <cfRule type="expression" dxfId="172" priority="8">
      <formula>B9&lt;&gt;1</formula>
    </cfRule>
  </conditionalFormatting>
  <conditionalFormatting sqref="J10">
    <cfRule type="expression" dxfId="171" priority="7">
      <formula>B10&lt;&gt;1</formula>
    </cfRule>
  </conditionalFormatting>
  <conditionalFormatting sqref="J11">
    <cfRule type="expression" dxfId="170" priority="6">
      <formula>B11&lt;&gt;1</formula>
    </cfRule>
  </conditionalFormatting>
  <conditionalFormatting sqref="J12">
    <cfRule type="expression" dxfId="169" priority="5">
      <formula>B12&lt;&gt;1</formula>
    </cfRule>
  </conditionalFormatting>
  <conditionalFormatting sqref="I9">
    <cfRule type="expression" dxfId="168" priority="4">
      <formula>B9&lt;&gt;1</formula>
    </cfRule>
  </conditionalFormatting>
  <conditionalFormatting sqref="I10">
    <cfRule type="expression" dxfId="167" priority="3">
      <formula>B10&lt;&gt;1</formula>
    </cfRule>
  </conditionalFormatting>
  <conditionalFormatting sqref="I11">
    <cfRule type="expression" dxfId="166" priority="2">
      <formula>B11&lt;&gt;1</formula>
    </cfRule>
  </conditionalFormatting>
  <conditionalFormatting sqref="I12">
    <cfRule type="expression" dxfId="165" priority="1">
      <formula>B12&lt;&gt;1</formula>
    </cfRule>
  </conditionalFormatting>
  <dataValidations count="2">
    <dataValidation type="list" allowBlank="1" showInputMessage="1" showErrorMessage="1" error="Wrong input!" prompt="Izaberite obilježja specifična za tip V.T." sqref="I8:I12" xr:uid="{00000000-0002-0000-1E00-000002000000}">
      <formula1>$U$4:$U$13</formula1>
    </dataValidation>
    <dataValidation type="list" allowBlank="1" showInputMessage="1" showErrorMessage="1" error="Wrong input!" prompt="Izaberite vrstu vodnog tijela" sqref="F8:F12" xr:uid="{00000000-0002-0000-1E00-000001000000}">
      <formula1>$P$4:$P$12</formula1>
    </dataValidation>
  </dataValidations>
  <pageMargins left="0.7" right="0.7" top="0.78740157499999996" bottom="0.78740157499999996"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1">
    <tabColor theme="5" tint="0.39997558519241921"/>
  </sheetPr>
  <dimension ref="B1:V41"/>
  <sheetViews>
    <sheetView showGridLines="0" tabSelected="1" topLeftCell="A3" zoomScaleNormal="100" workbookViewId="0">
      <selection activeCell="S11" sqref="S11"/>
    </sheetView>
  </sheetViews>
  <sheetFormatPr defaultColWidth="10.875" defaultRowHeight="15" outlineLevelCol="1" x14ac:dyDescent="0.2"/>
  <cols>
    <col min="1" max="2" width="3.875" style="5" customWidth="1"/>
    <col min="3" max="3" width="15.875" style="5" customWidth="1"/>
    <col min="4" max="4" width="1.875" style="5" customWidth="1"/>
    <col min="5" max="5" width="18.5" style="5" bestFit="1" customWidth="1"/>
    <col min="6" max="6" width="1.875" style="5" customWidth="1"/>
    <col min="7" max="7" width="5.125" style="5" customWidth="1"/>
    <col min="8" max="8" width="39" style="5" customWidth="1"/>
    <col min="9" max="9" width="17" style="5" customWidth="1"/>
    <col min="10" max="10" width="3.875" style="5" customWidth="1"/>
    <col min="11" max="13" width="10.875" style="5"/>
    <col min="14" max="14" width="0" style="5" hidden="1" customWidth="1" outlineLevel="1"/>
    <col min="15" max="15" width="0" style="5" hidden="1" customWidth="1" collapsed="1"/>
    <col min="16" max="16384" width="10.875" style="5"/>
  </cols>
  <sheetData>
    <row r="1" spans="2:22" ht="15.75" thickBot="1" x14ac:dyDescent="0.25"/>
    <row r="2" spans="2:22" ht="17.100000000000001" customHeight="1" x14ac:dyDescent="0.2">
      <c r="B2" s="6"/>
      <c r="C2" s="10"/>
      <c r="D2" s="11"/>
      <c r="E2" s="12"/>
      <c r="F2" s="11"/>
      <c r="G2" s="10"/>
      <c r="H2" s="11"/>
      <c r="I2" s="11"/>
      <c r="J2" s="20"/>
      <c r="N2" s="80" t="s">
        <v>5</v>
      </c>
    </row>
    <row r="3" spans="2:22" ht="18" x14ac:dyDescent="0.2">
      <c r="B3" s="7"/>
      <c r="C3" s="781" t="s">
        <v>64</v>
      </c>
      <c r="D3" s="781"/>
      <c r="E3" s="781"/>
      <c r="F3" s="781"/>
      <c r="G3" s="781"/>
      <c r="H3" s="781"/>
      <c r="I3" s="781"/>
      <c r="J3" s="782"/>
      <c r="N3" s="80" t="s">
        <v>83</v>
      </c>
    </row>
    <row r="4" spans="2:22" ht="15.75" thickBot="1" x14ac:dyDescent="0.25">
      <c r="B4" s="7"/>
      <c r="C4" s="37"/>
      <c r="D4" s="38"/>
      <c r="E4" s="39"/>
      <c r="F4" s="38"/>
      <c r="G4" s="37"/>
      <c r="H4" s="38"/>
      <c r="I4" s="38"/>
      <c r="J4" s="21"/>
      <c r="N4" s="80" t="s">
        <v>84</v>
      </c>
    </row>
    <row r="5" spans="2:22" ht="29.1" customHeight="1" thickBot="1" x14ac:dyDescent="0.25">
      <c r="B5" s="8"/>
      <c r="C5" s="359" t="s">
        <v>65</v>
      </c>
      <c r="D5" s="38"/>
      <c r="E5" s="778"/>
      <c r="F5" s="779"/>
      <c r="G5" s="779"/>
      <c r="H5" s="779"/>
      <c r="I5" s="780"/>
      <c r="J5" s="22"/>
      <c r="N5" s="5" t="s">
        <v>82</v>
      </c>
    </row>
    <row r="6" spans="2:22" ht="9.9499999999999993" customHeight="1" thickBot="1" x14ac:dyDescent="0.25">
      <c r="B6" s="7"/>
      <c r="C6" s="37"/>
      <c r="D6" s="38"/>
      <c r="E6" s="39"/>
      <c r="F6" s="38"/>
      <c r="G6" s="37"/>
      <c r="H6" s="38"/>
      <c r="I6" s="38"/>
      <c r="J6" s="21"/>
    </row>
    <row r="7" spans="2:22" ht="29.1" customHeight="1" thickBot="1" x14ac:dyDescent="0.25">
      <c r="B7" s="7"/>
      <c r="C7" s="348" t="s">
        <v>66</v>
      </c>
      <c r="D7" s="104"/>
      <c r="E7" s="577"/>
      <c r="F7" s="104"/>
      <c r="G7" s="37"/>
      <c r="H7" s="38"/>
      <c r="I7" s="38"/>
      <c r="J7" s="21"/>
    </row>
    <row r="8" spans="2:22" ht="9.9499999999999993" customHeight="1" thickBot="1" x14ac:dyDescent="0.25">
      <c r="B8" s="7"/>
      <c r="C8" s="37"/>
      <c r="D8" s="38"/>
      <c r="E8" s="39"/>
      <c r="F8" s="38"/>
      <c r="G8" s="37"/>
      <c r="H8" s="38"/>
      <c r="I8" s="38"/>
      <c r="J8" s="21"/>
    </row>
    <row r="9" spans="2:22" ht="51.75" thickBot="1" x14ac:dyDescent="0.25">
      <c r="B9" s="7"/>
      <c r="C9" s="348" t="s">
        <v>67</v>
      </c>
      <c r="D9" s="46"/>
      <c r="E9" s="578"/>
      <c r="F9" s="46"/>
      <c r="G9" s="37"/>
      <c r="H9" s="38"/>
      <c r="I9" s="38"/>
      <c r="J9" s="21"/>
    </row>
    <row r="10" spans="2:22" ht="9.9499999999999993" customHeight="1" thickBot="1" x14ac:dyDescent="0.25">
      <c r="B10" s="7"/>
      <c r="C10" s="37"/>
      <c r="D10" s="38"/>
      <c r="E10" s="39"/>
      <c r="F10" s="38"/>
      <c r="G10" s="37"/>
      <c r="H10" s="38"/>
      <c r="I10" s="38"/>
      <c r="J10" s="21"/>
    </row>
    <row r="11" spans="2:22" ht="42" customHeight="1" thickBot="1" x14ac:dyDescent="0.25">
      <c r="B11" s="7"/>
      <c r="C11" s="348" t="s">
        <v>529</v>
      </c>
      <c r="D11" s="104"/>
      <c r="E11" s="579"/>
      <c r="F11" s="104"/>
      <c r="G11" s="37"/>
      <c r="H11" s="38"/>
      <c r="I11" s="38"/>
      <c r="J11" s="21"/>
    </row>
    <row r="12" spans="2:22" s="80" customFormat="1" ht="9.9499999999999993" customHeight="1" thickBot="1" x14ac:dyDescent="0.25">
      <c r="B12" s="7"/>
      <c r="C12" s="37"/>
      <c r="D12" s="38"/>
      <c r="E12" s="39"/>
      <c r="F12" s="38"/>
      <c r="G12" s="37"/>
      <c r="H12" s="38"/>
      <c r="I12" s="38"/>
      <c r="J12" s="21"/>
    </row>
    <row r="13" spans="2:22" s="80" customFormat="1" ht="15.95" customHeight="1" thickBot="1" x14ac:dyDescent="0.25">
      <c r="B13" s="7"/>
      <c r="C13" s="789" t="s">
        <v>68</v>
      </c>
      <c r="D13" s="37"/>
      <c r="E13" s="786"/>
      <c r="F13" s="37"/>
      <c r="G13" s="198" t="s">
        <v>73</v>
      </c>
      <c r="H13" s="202" t="s">
        <v>74</v>
      </c>
      <c r="I13" s="199" t="s">
        <v>75</v>
      </c>
      <c r="J13" s="21"/>
      <c r="N13" s="671"/>
      <c r="O13" s="671"/>
      <c r="P13" s="671"/>
      <c r="Q13" s="671"/>
      <c r="R13" s="671"/>
      <c r="S13" s="671"/>
      <c r="T13" s="671"/>
      <c r="U13" s="671"/>
      <c r="V13" s="671"/>
    </row>
    <row r="14" spans="2:22" s="80" customFormat="1" ht="15.95" customHeight="1" thickBot="1" x14ac:dyDescent="0.25">
      <c r="B14" s="7"/>
      <c r="C14" s="790"/>
      <c r="D14" s="38"/>
      <c r="E14" s="787"/>
      <c r="F14" s="349" t="str">
        <f>IF($E$13&gt;=1,1,"")</f>
        <v/>
      </c>
      <c r="G14" s="200" t="str">
        <f>IF($E$13&gt;=1,"# 1","")</f>
        <v/>
      </c>
      <c r="H14" s="589"/>
      <c r="I14" s="576"/>
      <c r="J14" s="21"/>
    </row>
    <row r="15" spans="2:22" s="80" customFormat="1" ht="15.75" thickBot="1" x14ac:dyDescent="0.25">
      <c r="B15" s="7"/>
      <c r="C15" s="790"/>
      <c r="D15" s="38"/>
      <c r="E15" s="787"/>
      <c r="F15" s="349" t="str">
        <f>IF($E$13&gt;=2,1,"")</f>
        <v/>
      </c>
      <c r="G15" s="200" t="str">
        <f>IF($E$13&gt;=2,"# 2","")</f>
        <v/>
      </c>
      <c r="H15" s="589"/>
      <c r="I15" s="576"/>
      <c r="J15" s="21"/>
    </row>
    <row r="16" spans="2:22" s="80" customFormat="1" ht="15.75" thickBot="1" x14ac:dyDescent="0.25">
      <c r="B16" s="7"/>
      <c r="C16" s="790"/>
      <c r="D16" s="38"/>
      <c r="E16" s="787"/>
      <c r="F16" s="349" t="str">
        <f>IF($E$13&gt;=3,1,"")</f>
        <v/>
      </c>
      <c r="G16" s="200" t="str">
        <f>IF($E$13&gt;=3,"# 3","")</f>
        <v/>
      </c>
      <c r="H16" s="575"/>
      <c r="I16" s="576"/>
      <c r="J16" s="21"/>
    </row>
    <row r="17" spans="2:10" s="80" customFormat="1" ht="15.75" thickBot="1" x14ac:dyDescent="0.25">
      <c r="B17" s="7"/>
      <c r="C17" s="790"/>
      <c r="D17" s="37"/>
      <c r="E17" s="787"/>
      <c r="F17" s="349" t="str">
        <f>IF($E$13&gt;=4,1,"")</f>
        <v/>
      </c>
      <c r="G17" s="200" t="str">
        <f>IF($E$13&gt;=4,"# 4","")</f>
        <v/>
      </c>
      <c r="H17" s="575"/>
      <c r="I17" s="576"/>
      <c r="J17" s="21"/>
    </row>
    <row r="18" spans="2:10" s="80" customFormat="1" ht="15.75" thickBot="1" x14ac:dyDescent="0.25">
      <c r="B18" s="7"/>
      <c r="C18" s="790"/>
      <c r="D18" s="37"/>
      <c r="E18" s="787"/>
      <c r="F18" s="349" t="str">
        <f>IF($E$13&gt;=5,1,"")</f>
        <v/>
      </c>
      <c r="G18" s="200" t="str">
        <f>IF($E$13&gt;=5,"# 5","")</f>
        <v/>
      </c>
      <c r="H18" s="575"/>
      <c r="I18" s="576"/>
      <c r="J18" s="21"/>
    </row>
    <row r="19" spans="2:10" s="80" customFormat="1" ht="15.75" thickBot="1" x14ac:dyDescent="0.25">
      <c r="B19" s="7"/>
      <c r="C19" s="791"/>
      <c r="D19" s="37"/>
      <c r="E19" s="788"/>
      <c r="F19" s="37"/>
      <c r="G19" s="784" t="s">
        <v>76</v>
      </c>
      <c r="H19" s="785"/>
      <c r="I19" s="206" t="str">
        <f>IF(E13="","",SUMPRODUCT(I14:I18,F14:F18))</f>
        <v/>
      </c>
      <c r="J19" s="21"/>
    </row>
    <row r="20" spans="2:10" ht="9.9499999999999993" customHeight="1" thickBot="1" x14ac:dyDescent="0.25">
      <c r="B20" s="7"/>
      <c r="C20" s="37"/>
      <c r="D20" s="38"/>
      <c r="E20" s="39"/>
      <c r="F20" s="38"/>
      <c r="G20" s="37"/>
      <c r="H20" s="38"/>
      <c r="I20" s="38"/>
      <c r="J20" s="21"/>
    </row>
    <row r="21" spans="2:10" ht="29.1" customHeight="1" thickBot="1" x14ac:dyDescent="0.25">
      <c r="B21" s="7"/>
      <c r="C21" s="348" t="s">
        <v>69</v>
      </c>
      <c r="D21" s="104"/>
      <c r="E21" s="580"/>
      <c r="F21" s="104"/>
      <c r="G21" s="136"/>
      <c r="H21" s="104"/>
      <c r="I21" s="104"/>
      <c r="J21" s="21"/>
    </row>
    <row r="22" spans="2:10" ht="9.9499999999999993" customHeight="1" thickBot="1" x14ac:dyDescent="0.25">
      <c r="B22" s="7"/>
      <c r="C22" s="37"/>
      <c r="D22" s="38"/>
      <c r="E22" s="39"/>
      <c r="F22" s="38"/>
      <c r="G22" s="37"/>
      <c r="H22" s="38"/>
      <c r="I22" s="38"/>
      <c r="J22" s="21"/>
    </row>
    <row r="23" spans="2:10" ht="51.75" thickBot="1" x14ac:dyDescent="0.25">
      <c r="B23" s="7"/>
      <c r="C23" s="348" t="s">
        <v>522</v>
      </c>
      <c r="D23" s="38"/>
      <c r="E23" s="28"/>
      <c r="F23" s="38"/>
      <c r="G23" s="137"/>
      <c r="H23" s="38"/>
      <c r="I23" s="38"/>
      <c r="J23" s="21"/>
    </row>
    <row r="24" spans="2:10" s="80" customFormat="1" ht="9.9499999999999993" customHeight="1" thickBot="1" x14ac:dyDescent="0.25">
      <c r="B24" s="7"/>
      <c r="C24" s="37"/>
      <c r="D24" s="38"/>
      <c r="E24" s="39"/>
      <c r="F24" s="38"/>
      <c r="G24" s="37"/>
      <c r="H24" s="38"/>
      <c r="I24" s="38"/>
      <c r="J24" s="21"/>
    </row>
    <row r="25" spans="2:10" s="80" customFormat="1" ht="29.1" customHeight="1" thickBot="1" x14ac:dyDescent="0.25">
      <c r="B25" s="8"/>
      <c r="C25" s="348" t="s">
        <v>70</v>
      </c>
      <c r="D25" s="38"/>
      <c r="E25" s="85"/>
      <c r="F25" s="38"/>
      <c r="G25" s="37"/>
      <c r="H25" s="38"/>
      <c r="I25" s="38"/>
      <c r="J25" s="21"/>
    </row>
    <row r="26" spans="2:10" s="80" customFormat="1" ht="9.9499999999999993" customHeight="1" thickBot="1" x14ac:dyDescent="0.25">
      <c r="B26" s="7"/>
      <c r="C26" s="37"/>
      <c r="D26" s="38"/>
      <c r="E26" s="39"/>
      <c r="F26" s="38"/>
      <c r="G26" s="37"/>
      <c r="H26" s="38"/>
      <c r="I26" s="38"/>
      <c r="J26" s="21"/>
    </row>
    <row r="27" spans="2:10" s="80" customFormat="1" ht="29.1" customHeight="1" thickBot="1" x14ac:dyDescent="0.25">
      <c r="B27" s="8"/>
      <c r="C27" s="348" t="s">
        <v>71</v>
      </c>
      <c r="D27" s="38"/>
      <c r="E27" s="85"/>
      <c r="F27" s="38"/>
      <c r="G27" s="37"/>
      <c r="H27" s="38"/>
      <c r="I27" s="38"/>
      <c r="J27" s="21"/>
    </row>
    <row r="28" spans="2:10" s="80" customFormat="1" ht="9.9499999999999993" customHeight="1" thickBot="1" x14ac:dyDescent="0.25">
      <c r="B28" s="7"/>
      <c r="C28" s="37"/>
      <c r="D28" s="38"/>
      <c r="E28" s="39"/>
      <c r="F28" s="38"/>
      <c r="G28" s="37"/>
      <c r="H28" s="38"/>
      <c r="I28" s="38"/>
      <c r="J28" s="21"/>
    </row>
    <row r="29" spans="2:10" s="80" customFormat="1" ht="29.1" customHeight="1" thickBot="1" x14ac:dyDescent="0.25">
      <c r="B29" s="8"/>
      <c r="C29" s="348" t="s">
        <v>72</v>
      </c>
      <c r="D29" s="38"/>
      <c r="E29" s="581" t="s">
        <v>82</v>
      </c>
      <c r="F29" s="38"/>
      <c r="G29" s="37"/>
      <c r="H29" s="38"/>
      <c r="I29" s="38"/>
      <c r="J29" s="21"/>
    </row>
    <row r="30" spans="2:10" s="80" customFormat="1" ht="9.9499999999999993" customHeight="1" thickBot="1" x14ac:dyDescent="0.25">
      <c r="B30" s="7"/>
      <c r="C30" s="37"/>
      <c r="D30" s="38"/>
      <c r="E30" s="39"/>
      <c r="F30" s="38"/>
      <c r="G30" s="37"/>
      <c r="H30" s="38"/>
      <c r="I30" s="38"/>
      <c r="J30" s="21"/>
    </row>
    <row r="31" spans="2:10" s="80" customFormat="1" ht="29.1" customHeight="1" thickBot="1" x14ac:dyDescent="0.25">
      <c r="B31" s="8"/>
      <c r="C31" s="348" t="str">
        <f>IF(E29="da","Dužina cjevovoda (km)","n.a.")</f>
        <v>n.a.</v>
      </c>
      <c r="D31" s="38"/>
      <c r="E31" s="28"/>
      <c r="F31" s="38"/>
      <c r="G31" s="37"/>
      <c r="H31" s="38"/>
      <c r="I31" s="38"/>
      <c r="J31" s="21"/>
    </row>
    <row r="32" spans="2:10" s="80" customFormat="1" ht="15.75" thickBot="1" x14ac:dyDescent="0.25">
      <c r="B32" s="9"/>
      <c r="C32" s="17"/>
      <c r="D32" s="18"/>
      <c r="E32" s="19"/>
      <c r="F32" s="18"/>
      <c r="G32" s="17"/>
      <c r="H32" s="18"/>
      <c r="I32" s="18"/>
      <c r="J32" s="23"/>
    </row>
    <row r="34" spans="2:10" ht="15.75" thickBot="1" x14ac:dyDescent="0.25"/>
    <row r="35" spans="2:10" x14ac:dyDescent="0.2">
      <c r="B35" s="6"/>
      <c r="C35" s="10"/>
      <c r="D35" s="11"/>
      <c r="E35" s="12"/>
      <c r="F35" s="11"/>
      <c r="G35" s="10"/>
      <c r="H35" s="11"/>
      <c r="I35" s="11"/>
      <c r="J35" s="20"/>
    </row>
    <row r="36" spans="2:10" ht="18" x14ac:dyDescent="0.2">
      <c r="B36" s="7"/>
      <c r="C36" s="783" t="s">
        <v>92</v>
      </c>
      <c r="D36" s="783"/>
      <c r="E36" s="783"/>
      <c r="F36" s="783"/>
      <c r="G36" s="783"/>
      <c r="H36" s="783"/>
      <c r="I36" s="783"/>
      <c r="J36" s="782"/>
    </row>
    <row r="37" spans="2:10" ht="15.75" thickBot="1" x14ac:dyDescent="0.25">
      <c r="B37" s="7"/>
      <c r="C37" s="13"/>
      <c r="D37" s="14"/>
      <c r="E37" s="15"/>
      <c r="F37" s="14"/>
      <c r="G37" s="13"/>
      <c r="H37" s="14"/>
      <c r="I37" s="14"/>
      <c r="J37" s="21"/>
    </row>
    <row r="38" spans="2:10" ht="26.25" thickBot="1" x14ac:dyDescent="0.25">
      <c r="B38" s="7"/>
      <c r="C38" s="348" t="s">
        <v>91</v>
      </c>
      <c r="D38" s="16"/>
      <c r="E38" s="582">
        <v>744.6</v>
      </c>
      <c r="F38" s="16"/>
      <c r="G38" s="16"/>
      <c r="H38" s="16"/>
      <c r="I38" s="16"/>
      <c r="J38" s="21"/>
    </row>
    <row r="39" spans="2:10" ht="15.75" thickBot="1" x14ac:dyDescent="0.25">
      <c r="B39" s="9"/>
      <c r="C39" s="17"/>
      <c r="D39" s="18"/>
      <c r="E39" s="19"/>
      <c r="F39" s="18"/>
      <c r="G39" s="17"/>
      <c r="H39" s="18"/>
      <c r="I39" s="18"/>
      <c r="J39" s="23"/>
    </row>
    <row r="41" spans="2:10" ht="23.25" x14ac:dyDescent="0.35">
      <c r="B41" s="84"/>
    </row>
  </sheetData>
  <sheetProtection algorithmName="SHA-512" hashValue="BjSKs/2gM7S72RbGwnkHc5hUjQN8l91j/nHG7izHjvrxv776CGFVpLs30gaGIIpGHvpysaslkMWZ+PZLqSYpzQ==" saltValue="d2+VzdH4pXkLz+JN9c+HwQ==" spinCount="100000" sheet="1" objects="1" scenarios="1"/>
  <mergeCells count="6">
    <mergeCell ref="E5:I5"/>
    <mergeCell ref="C3:J3"/>
    <mergeCell ref="C36:J36"/>
    <mergeCell ref="G19:H19"/>
    <mergeCell ref="E13:E19"/>
    <mergeCell ref="C13:C19"/>
  </mergeCells>
  <conditionalFormatting sqref="E31">
    <cfRule type="expression" dxfId="257" priority="34">
      <formula>$E$29="no"</formula>
    </cfRule>
  </conditionalFormatting>
  <conditionalFormatting sqref="G19">
    <cfRule type="expression" dxfId="256" priority="33">
      <formula>$C51="n.a."</formula>
    </cfRule>
  </conditionalFormatting>
  <conditionalFormatting sqref="G14">
    <cfRule type="expression" dxfId="255" priority="32">
      <formula>$C46="n.a."</formula>
    </cfRule>
  </conditionalFormatting>
  <conditionalFormatting sqref="G15">
    <cfRule type="expression" dxfId="254" priority="29">
      <formula>$C47="n.a."</formula>
    </cfRule>
  </conditionalFormatting>
  <conditionalFormatting sqref="G16">
    <cfRule type="expression" dxfId="253" priority="28">
      <formula>$C48="n.a."</formula>
    </cfRule>
  </conditionalFormatting>
  <conditionalFormatting sqref="G17">
    <cfRule type="expression" dxfId="252" priority="27">
      <formula>$C49="n.a."</formula>
    </cfRule>
  </conditionalFormatting>
  <conditionalFormatting sqref="G18">
    <cfRule type="expression" dxfId="251" priority="26">
      <formula>$C50="n.a."</formula>
    </cfRule>
  </conditionalFormatting>
  <conditionalFormatting sqref="H14">
    <cfRule type="expression" dxfId="250" priority="18">
      <formula>F14=1</formula>
    </cfRule>
  </conditionalFormatting>
  <conditionalFormatting sqref="I14">
    <cfRule type="expression" dxfId="249" priority="76">
      <formula>F14=1</formula>
    </cfRule>
  </conditionalFormatting>
  <conditionalFormatting sqref="I19">
    <cfRule type="expression" dxfId="248" priority="9">
      <formula>$C57="n.a."</formula>
    </cfRule>
  </conditionalFormatting>
  <conditionalFormatting sqref="I15">
    <cfRule type="expression" dxfId="247" priority="8">
      <formula>F15=1</formula>
    </cfRule>
  </conditionalFormatting>
  <conditionalFormatting sqref="I16">
    <cfRule type="expression" dxfId="246" priority="7">
      <formula>F16=1</formula>
    </cfRule>
  </conditionalFormatting>
  <conditionalFormatting sqref="I17">
    <cfRule type="expression" dxfId="245" priority="6">
      <formula>F17=1</formula>
    </cfRule>
  </conditionalFormatting>
  <conditionalFormatting sqref="I18">
    <cfRule type="expression" dxfId="244" priority="5">
      <formula>F18=1</formula>
    </cfRule>
  </conditionalFormatting>
  <conditionalFormatting sqref="H15">
    <cfRule type="expression" dxfId="243" priority="4">
      <formula>F15=1</formula>
    </cfRule>
  </conditionalFormatting>
  <conditionalFormatting sqref="H16">
    <cfRule type="expression" dxfId="242" priority="3">
      <formula>F16=1</formula>
    </cfRule>
  </conditionalFormatting>
  <conditionalFormatting sqref="H17">
    <cfRule type="expression" dxfId="241" priority="2">
      <formula>F17=1</formula>
    </cfRule>
  </conditionalFormatting>
  <conditionalFormatting sqref="H18">
    <cfRule type="expression" dxfId="240" priority="1">
      <formula>F18=1</formula>
    </cfRule>
  </conditionalFormatting>
  <dataValidations count="2">
    <dataValidation type="list" errorStyle="warning" allowBlank="1" showInputMessage="1" showErrorMessage="1" errorTitle="Wrong input!" error="Please select yes or no" prompt="Izaberita da ili ne" sqref="E29" xr:uid="{00000000-0002-0000-0200-000001000000}">
      <formula1>$N$3:$N$5</formula1>
    </dataValidation>
    <dataValidation type="whole" allowBlank="1" showInputMessage="1" showErrorMessage="1" error="Only integer values between 1 and 5 allowed!" prompt="Molimo unesite broj vodnih tijela koji su pod uticajem MHE" sqref="E13:E19" xr:uid="{FCA9CF88-2529-4299-B9BB-66C7F8F448DB}">
      <formula1>1</formula1>
      <formula2>5</formula2>
    </dataValidation>
  </dataValidations>
  <pageMargins left="0.7" right="0.7" top="0.78740157499999996" bottom="0.78740157499999996" header="0.3" footer="0.3"/>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Tabelle30"/>
  <dimension ref="B1:O22"/>
  <sheetViews>
    <sheetView showGridLines="0" workbookViewId="0">
      <selection activeCell="F25" sqref="F25"/>
    </sheetView>
  </sheetViews>
  <sheetFormatPr defaultColWidth="10.875" defaultRowHeight="15" outlineLevelCol="1" x14ac:dyDescent="0.2"/>
  <cols>
    <col min="1" max="1" width="2.875" style="80" customWidth="1"/>
    <col min="2" max="2" width="4.125" style="80" customWidth="1"/>
    <col min="3" max="3" width="9.125" style="80" customWidth="1"/>
    <col min="4" max="4" width="10.875" style="80"/>
    <col min="5" max="5" width="12.375" style="80" customWidth="1"/>
    <col min="6" max="6" width="46.125" style="80" customWidth="1"/>
    <col min="7" max="7" width="17.5" style="80" customWidth="1"/>
    <col min="8" max="8" width="10.625" style="80" customWidth="1"/>
    <col min="9" max="9" width="4.125" style="80" customWidth="1"/>
    <col min="10" max="12" width="10.875" style="80"/>
    <col min="13" max="13" width="36" style="80" customWidth="1" outlineLevel="1"/>
    <col min="14" max="14" width="10.875" style="80" customWidth="1" outlineLevel="1"/>
    <col min="15" max="15" width="21.875" style="80" customWidth="1" outlineLevel="1"/>
    <col min="16" max="16384" width="10.875" style="80"/>
  </cols>
  <sheetData>
    <row r="1" spans="2:15" s="1" customFormat="1" ht="17.100000000000001" customHeight="1" thickBot="1" x14ac:dyDescent="0.25">
      <c r="C1" s="24"/>
      <c r="D1" s="24"/>
      <c r="E1" s="24"/>
      <c r="G1" s="25"/>
      <c r="H1" s="25"/>
    </row>
    <row r="2" spans="2:15" s="1" customFormat="1" ht="14.1" customHeight="1" thickBot="1" x14ac:dyDescent="0.25">
      <c r="B2" s="182"/>
      <c r="C2" s="183"/>
      <c r="D2" s="183"/>
      <c r="E2" s="183"/>
      <c r="F2" s="184"/>
      <c r="G2" s="184"/>
      <c r="H2" s="184"/>
      <c r="I2" s="185"/>
      <c r="K2" s="25"/>
      <c r="M2" s="182" t="s">
        <v>310</v>
      </c>
      <c r="N2" s="184"/>
      <c r="O2" s="185"/>
    </row>
    <row r="3" spans="2:15" s="1" customFormat="1" ht="17.100000000000001" customHeight="1" x14ac:dyDescent="0.2">
      <c r="B3" s="47"/>
      <c r="C3" s="186" t="s">
        <v>308</v>
      </c>
      <c r="D3" s="186"/>
      <c r="E3" s="186"/>
      <c r="F3" s="186"/>
      <c r="G3" s="186"/>
      <c r="H3" s="186"/>
      <c r="I3" s="187"/>
      <c r="K3" s="25"/>
      <c r="M3" s="217" t="s">
        <v>83</v>
      </c>
      <c r="N3" s="218" t="s">
        <v>28</v>
      </c>
      <c r="O3" s="219" t="s">
        <v>270</v>
      </c>
    </row>
    <row r="4" spans="2:15" s="1" customFormat="1" ht="17.100000000000001" customHeight="1" thickBot="1" x14ac:dyDescent="0.25">
      <c r="B4" s="188"/>
      <c r="C4" s="189"/>
      <c r="D4" s="189"/>
      <c r="E4" s="189"/>
      <c r="F4" s="189"/>
      <c r="G4" s="189"/>
      <c r="H4" s="189"/>
      <c r="I4" s="190"/>
      <c r="K4" s="25"/>
      <c r="M4" s="220" t="s">
        <v>84</v>
      </c>
      <c r="N4" s="216" t="s">
        <v>28</v>
      </c>
      <c r="O4" s="221" t="s">
        <v>272</v>
      </c>
    </row>
    <row r="5" spans="2:15" s="1" customFormat="1" ht="14.1" customHeight="1" thickBot="1" x14ac:dyDescent="0.25">
      <c r="M5" s="220" t="s">
        <v>82</v>
      </c>
      <c r="N5" s="216"/>
      <c r="O5" s="221"/>
    </row>
    <row r="6" spans="2:15" s="1" customFormat="1" ht="13.5" thickBot="1" x14ac:dyDescent="0.25">
      <c r="B6" s="182"/>
      <c r="C6" s="184"/>
      <c r="D6" s="184"/>
      <c r="E6" s="184"/>
      <c r="F6" s="11"/>
      <c r="G6" s="11"/>
      <c r="H6" s="11"/>
      <c r="I6" s="20"/>
      <c r="M6" s="222"/>
      <c r="N6" s="223"/>
      <c r="O6" s="224"/>
    </row>
    <row r="7" spans="2:15" s="179" customFormat="1" ht="51" customHeight="1" thickBot="1" x14ac:dyDescent="0.25">
      <c r="B7" s="194"/>
      <c r="C7" s="208" t="s">
        <v>273</v>
      </c>
      <c r="D7" s="868" t="s">
        <v>74</v>
      </c>
      <c r="E7" s="869"/>
      <c r="F7" s="208" t="s">
        <v>309</v>
      </c>
      <c r="G7" s="209" t="s">
        <v>80</v>
      </c>
      <c r="H7" s="208" t="s">
        <v>145</v>
      </c>
      <c r="I7" s="21"/>
    </row>
    <row r="8" spans="2:15" ht="33.950000000000003" customHeight="1" thickBot="1" x14ac:dyDescent="0.25">
      <c r="B8" s="197" t="str">
        <f>'Unos podataka'!F14</f>
        <v/>
      </c>
      <c r="C8" s="200" t="str">
        <f>'Unos podataka'!G14</f>
        <v/>
      </c>
      <c r="D8" s="870" t="str">
        <f>IF(B8&lt;&gt;"",'Unos podataka'!H14,"")</f>
        <v/>
      </c>
      <c r="E8" s="867"/>
      <c r="F8" s="598" t="s">
        <v>82</v>
      </c>
      <c r="G8" s="210" t="str">
        <f>IF(F8="da",$O$3,IF(F8="ne",$O$4,""))</f>
        <v/>
      </c>
      <c r="H8" s="225" t="str">
        <f>IF(F8=$M$3,$N$3,IF(F8=$M$4,$N$4,""))</f>
        <v/>
      </c>
      <c r="I8" s="246">
        <f>IF(F8=$M$5,1,0)</f>
        <v>1</v>
      </c>
    </row>
    <row r="9" spans="2:15" ht="33.950000000000003" customHeight="1" thickBot="1" x14ac:dyDescent="0.25">
      <c r="B9" s="197" t="str">
        <f>'Unos podataka'!F15</f>
        <v/>
      </c>
      <c r="C9" s="200" t="str">
        <f>'Unos podataka'!G15</f>
        <v/>
      </c>
      <c r="D9" s="870" t="str">
        <f>IF(B9&lt;&gt;"",'Unos podataka'!H15,"")</f>
        <v/>
      </c>
      <c r="E9" s="867"/>
      <c r="F9" s="598" t="s">
        <v>82</v>
      </c>
      <c r="G9" s="210" t="str">
        <f>IF(F9="da",$O$3,IF(F9="ne",$O$4,""))</f>
        <v/>
      </c>
      <c r="H9" s="225" t="str">
        <f>IF(F9=$M$3,$N$3,IF(F9=$M$4,$N$4,""))</f>
        <v/>
      </c>
      <c r="I9" s="246">
        <f t="shared" ref="I9:I12" si="0">IF(F9=$M$5,1,0)</f>
        <v>1</v>
      </c>
    </row>
    <row r="10" spans="2:15" ht="33.950000000000003" customHeight="1" thickBot="1" x14ac:dyDescent="0.25">
      <c r="B10" s="197" t="str">
        <f>'Unos podataka'!F16</f>
        <v/>
      </c>
      <c r="C10" s="200" t="str">
        <f>'Unos podataka'!G16</f>
        <v/>
      </c>
      <c r="D10" s="870" t="str">
        <f>IF(B10&lt;&gt;"",'Unos podataka'!H16,"")</f>
        <v/>
      </c>
      <c r="E10" s="867"/>
      <c r="F10" s="598" t="s">
        <v>82</v>
      </c>
      <c r="G10" s="210" t="str">
        <f>IF(F10="da",$O$3,IF(F10="ne",$O$4,""))</f>
        <v/>
      </c>
      <c r="H10" s="225" t="str">
        <f>IF(F10=$M$3,$N$3,IF(F10=$M$4,$N$4,""))</f>
        <v/>
      </c>
      <c r="I10" s="246">
        <f t="shared" si="0"/>
        <v>1</v>
      </c>
    </row>
    <row r="11" spans="2:15" ht="33.950000000000003" customHeight="1" thickBot="1" x14ac:dyDescent="0.25">
      <c r="B11" s="197" t="str">
        <f>'Unos podataka'!F17</f>
        <v/>
      </c>
      <c r="C11" s="353" t="str">
        <f>'Unos podataka'!G17</f>
        <v/>
      </c>
      <c r="D11" s="870" t="str">
        <f>IF(B11&lt;&gt;"",'Unos podataka'!H17,"")</f>
        <v/>
      </c>
      <c r="E11" s="867"/>
      <c r="F11" s="598" t="s">
        <v>82</v>
      </c>
      <c r="G11" s="210" t="str">
        <f>IF(F11="da",$O$3,IF(F11="ne",$O$4,""))</f>
        <v/>
      </c>
      <c r="H11" s="225" t="str">
        <f>IF(F11=$M$3,$N$3,IF(F11=$M$4,$N$4,""))</f>
        <v/>
      </c>
      <c r="I11" s="246">
        <f t="shared" si="0"/>
        <v>1</v>
      </c>
    </row>
    <row r="12" spans="2:15" ht="33.950000000000003" customHeight="1" thickBot="1" x14ac:dyDescent="0.25">
      <c r="B12" s="197" t="str">
        <f>'Unos podataka'!F18</f>
        <v/>
      </c>
      <c r="C12" s="586" t="str">
        <f>'Unos podataka'!G18</f>
        <v/>
      </c>
      <c r="D12" s="867" t="str">
        <f>IF(B12&lt;&gt;"",'Unos podataka'!H18,"")</f>
        <v/>
      </c>
      <c r="E12" s="867"/>
      <c r="F12" s="598" t="s">
        <v>82</v>
      </c>
      <c r="G12" s="210" t="str">
        <f>IF(F12="da",$O$3,IF(F12="ne",$O$4,""))</f>
        <v/>
      </c>
      <c r="H12" s="226" t="str">
        <f>IF(F12=$M$3,$N$3,IF(F12=$M$4,$N$4,""))</f>
        <v/>
      </c>
      <c r="I12" s="246">
        <f t="shared" si="0"/>
        <v>1</v>
      </c>
    </row>
    <row r="13" spans="2:15" ht="14.1" customHeight="1" thickBot="1" x14ac:dyDescent="0.25">
      <c r="B13" s="204"/>
      <c r="C13" s="51"/>
      <c r="D13" s="51"/>
      <c r="E13" s="51"/>
      <c r="F13" s="51"/>
      <c r="G13" s="51"/>
      <c r="H13" s="51"/>
      <c r="I13" s="205"/>
    </row>
    <row r="14" spans="2:15" ht="15.75" thickBot="1" x14ac:dyDescent="0.25"/>
    <row r="15" spans="2:15" x14ac:dyDescent="0.2">
      <c r="B15" s="241"/>
      <c r="C15" s="242"/>
      <c r="D15" s="242"/>
      <c r="E15" s="242"/>
      <c r="F15" s="242"/>
      <c r="G15" s="242"/>
      <c r="H15" s="242"/>
      <c r="I15" s="243"/>
    </row>
    <row r="16" spans="2:15" ht="23.25" x14ac:dyDescent="0.35">
      <c r="B16" s="45"/>
      <c r="C16" s="866" t="str">
        <f>IF(C8="","",IF(SUMPRODUCT(B8:B12,I8:I12)&lt;&gt;0,"Ocjena kriterija nije završena!", "Sva vodna tijela su ocijenjena!"))</f>
        <v/>
      </c>
      <c r="D16" s="866"/>
      <c r="E16" s="866"/>
      <c r="F16" s="866"/>
      <c r="G16" s="866"/>
      <c r="H16" s="631">
        <f>IF(C8="",0,IF(SUMPRODUCT(B8:B12,I8:I12)&lt;&gt;0,0,1))</f>
        <v>0</v>
      </c>
      <c r="I16" s="49"/>
      <c r="M16" s="201"/>
    </row>
    <row r="17" spans="2:14" ht="15.75" thickBot="1" x14ac:dyDescent="0.25">
      <c r="B17" s="204"/>
      <c r="C17" s="51"/>
      <c r="D17" s="51"/>
      <c r="E17" s="51"/>
      <c r="F17" s="51"/>
      <c r="G17" s="51"/>
      <c r="H17" s="51"/>
      <c r="I17" s="205"/>
    </row>
    <row r="20" spans="2:14" x14ac:dyDescent="0.2">
      <c r="G20" s="670"/>
      <c r="H20" s="671"/>
      <c r="I20" s="671"/>
      <c r="J20" s="671"/>
      <c r="K20" s="671"/>
      <c r="L20" s="671"/>
      <c r="M20" s="671"/>
      <c r="N20" s="671"/>
    </row>
    <row r="22" spans="2:14" x14ac:dyDescent="0.2">
      <c r="G22" s="670"/>
      <c r="H22" s="671"/>
      <c r="I22" s="671"/>
      <c r="J22" s="671"/>
      <c r="K22" s="671"/>
      <c r="L22" s="671"/>
    </row>
  </sheetData>
  <sheetProtection algorithmName="SHA-512" hashValue="AbzHBK2qLYinQwzCxZjntMr+Mfk1QOAowj5UiWN2Z6CuwnDjAxj8LK4ppQHRYkvtuYvjOk39+mJgquOD4dwcRw==" saltValue="lWiM0cNNwrB1mpEnrRD6cw==" spinCount="100000" sheet="1" objects="1" scenarios="1"/>
  <mergeCells count="7">
    <mergeCell ref="D12:E12"/>
    <mergeCell ref="C16:G16"/>
    <mergeCell ref="D7:E7"/>
    <mergeCell ref="D8:E8"/>
    <mergeCell ref="D9:E9"/>
    <mergeCell ref="D10:E10"/>
    <mergeCell ref="D11:E11"/>
  </mergeCells>
  <conditionalFormatting sqref="C8:C12">
    <cfRule type="expression" dxfId="164" priority="14">
      <formula>$C8="n.a."</formula>
    </cfRule>
  </conditionalFormatting>
  <conditionalFormatting sqref="F8:F12">
    <cfRule type="expression" dxfId="163" priority="12">
      <formula>B8&lt;&gt;1</formula>
    </cfRule>
  </conditionalFormatting>
  <conditionalFormatting sqref="G8:G12">
    <cfRule type="expression" dxfId="162" priority="11">
      <formula>B8&lt;&gt;1</formula>
    </cfRule>
  </conditionalFormatting>
  <conditionalFormatting sqref="H8">
    <cfRule type="expression" dxfId="161" priority="8">
      <formula>B8=1</formula>
    </cfRule>
  </conditionalFormatting>
  <conditionalFormatting sqref="C16">
    <cfRule type="expression" dxfId="160" priority="5">
      <formula>SUMPRODUCT($B$8:$B$12,$I$8:$I$12)=0</formula>
    </cfRule>
  </conditionalFormatting>
  <conditionalFormatting sqref="H9">
    <cfRule type="expression" dxfId="159" priority="4">
      <formula>B9=1</formula>
    </cfRule>
  </conditionalFormatting>
  <conditionalFormatting sqref="H10">
    <cfRule type="expression" dxfId="158" priority="3">
      <formula>B10=1</formula>
    </cfRule>
  </conditionalFormatting>
  <conditionalFormatting sqref="H11">
    <cfRule type="expression" dxfId="157" priority="2">
      <formula>B11=1</formula>
    </cfRule>
  </conditionalFormatting>
  <conditionalFormatting sqref="H12">
    <cfRule type="expression" dxfId="156" priority="1">
      <formula>B12=1</formula>
    </cfRule>
  </conditionalFormatting>
  <dataValidations count="1">
    <dataValidation type="list" allowBlank="1" showInputMessage="1" showErrorMessage="1" error="Wrong input!" prompt="Izaberite da ili ne" sqref="F8:F12" xr:uid="{00000000-0002-0000-1F00-000000000000}">
      <formula1>$M$3:$M$5</formula1>
    </dataValidation>
  </dataValidation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Tabelle31"/>
  <dimension ref="B1:O37"/>
  <sheetViews>
    <sheetView showGridLines="0" workbookViewId="0">
      <selection activeCell="M11" sqref="M11"/>
    </sheetView>
  </sheetViews>
  <sheetFormatPr defaultColWidth="10.875" defaultRowHeight="15" outlineLevelCol="1" x14ac:dyDescent="0.2"/>
  <cols>
    <col min="1" max="1" width="2.875" style="80" customWidth="1"/>
    <col min="2" max="2" width="4.125" style="80" customWidth="1"/>
    <col min="3" max="3" width="9.125" style="80" customWidth="1"/>
    <col min="4" max="4" width="10.875" style="80"/>
    <col min="5" max="5" width="12.375" style="80" customWidth="1"/>
    <col min="6" max="6" width="46.125" style="80" customWidth="1"/>
    <col min="7" max="7" width="17.5" style="80" customWidth="1"/>
    <col min="8" max="9" width="4.125" style="80" customWidth="1"/>
    <col min="10" max="12" width="10.875" style="80"/>
    <col min="13" max="13" width="36" style="80" customWidth="1" outlineLevel="1"/>
    <col min="14" max="14" width="10.875" style="80" outlineLevel="1"/>
    <col min="15" max="15" width="21.875" style="80" customWidth="1" outlineLevel="1"/>
    <col min="16" max="16384" width="10.875" style="80"/>
  </cols>
  <sheetData>
    <row r="1" spans="2:15" s="1" customFormat="1" ht="17.100000000000001" customHeight="1" thickBot="1" x14ac:dyDescent="0.25">
      <c r="C1" s="24"/>
      <c r="D1" s="24"/>
      <c r="E1" s="24"/>
      <c r="G1" s="25"/>
      <c r="H1" s="25"/>
    </row>
    <row r="2" spans="2:15" s="1" customFormat="1" ht="14.1" customHeight="1" thickBot="1" x14ac:dyDescent="0.25">
      <c r="B2" s="182"/>
      <c r="C2" s="183"/>
      <c r="D2" s="183"/>
      <c r="E2" s="183"/>
      <c r="F2" s="184"/>
      <c r="G2" s="184"/>
      <c r="H2" s="185"/>
      <c r="K2" s="25"/>
      <c r="M2" s="182" t="s">
        <v>312</v>
      </c>
      <c r="N2" s="184"/>
      <c r="O2" s="185"/>
    </row>
    <row r="3" spans="2:15" s="1" customFormat="1" ht="17.100000000000001" customHeight="1" x14ac:dyDescent="0.2">
      <c r="B3" s="47"/>
      <c r="C3" s="186" t="s">
        <v>311</v>
      </c>
      <c r="D3" s="186"/>
      <c r="E3" s="186"/>
      <c r="F3" s="186"/>
      <c r="G3" s="186"/>
      <c r="H3" s="187"/>
      <c r="K3" s="25"/>
      <c r="M3" s="217"/>
      <c r="N3" s="218" t="s">
        <v>28</v>
      </c>
      <c r="O3" s="219" t="s">
        <v>270</v>
      </c>
    </row>
    <row r="4" spans="2:15" s="1" customFormat="1" ht="17.100000000000001" customHeight="1" thickBot="1" x14ac:dyDescent="0.25">
      <c r="B4" s="188"/>
      <c r="C4" s="189"/>
      <c r="D4" s="189"/>
      <c r="E4" s="189"/>
      <c r="F4" s="189"/>
      <c r="G4" s="189"/>
      <c r="H4" s="190"/>
      <c r="K4" s="25"/>
      <c r="M4" s="220"/>
      <c r="N4" s="216" t="s">
        <v>28</v>
      </c>
      <c r="O4" s="221" t="s">
        <v>271</v>
      </c>
    </row>
    <row r="5" spans="2:15" s="1" customFormat="1" ht="14.1" customHeight="1" thickBot="1" x14ac:dyDescent="0.25">
      <c r="M5" s="222"/>
      <c r="N5" s="223" t="s">
        <v>28</v>
      </c>
      <c r="O5" s="224" t="s">
        <v>297</v>
      </c>
    </row>
    <row r="6" spans="2:15" s="1" customFormat="1" ht="13.5" thickBot="1" x14ac:dyDescent="0.25">
      <c r="B6" s="182"/>
      <c r="C6" s="184"/>
      <c r="D6" s="184"/>
      <c r="E6" s="184"/>
      <c r="F6" s="11"/>
      <c r="G6" s="11"/>
      <c r="H6" s="20"/>
    </row>
    <row r="7" spans="2:15" s="179" customFormat="1" ht="35.1" customHeight="1" thickBot="1" x14ac:dyDescent="0.25">
      <c r="B7" s="194"/>
      <c r="C7" s="208" t="s">
        <v>273</v>
      </c>
      <c r="D7" s="868" t="s">
        <v>74</v>
      </c>
      <c r="E7" s="869"/>
      <c r="F7" s="209" t="s">
        <v>80</v>
      </c>
      <c r="G7" s="209" t="s">
        <v>145</v>
      </c>
      <c r="H7" s="21"/>
    </row>
    <row r="8" spans="2:15" ht="33.950000000000003" customHeight="1" thickBot="1" x14ac:dyDescent="0.25">
      <c r="B8" s="197" t="str">
        <f>'Unos podataka'!F14</f>
        <v/>
      </c>
      <c r="C8" s="200" t="str">
        <f>'Unos podataka'!G14</f>
        <v/>
      </c>
      <c r="D8" s="870" t="str">
        <f>IF(B8&lt;&gt;"",'Unos podataka'!H14,"")</f>
        <v/>
      </c>
      <c r="E8" s="867"/>
      <c r="F8" s="592"/>
      <c r="G8" s="225" t="str">
        <f>IF(F8="","","***")</f>
        <v/>
      </c>
      <c r="H8" s="246">
        <f>IF(F8=$O$6,1,0)</f>
        <v>1</v>
      </c>
    </row>
    <row r="9" spans="2:15" ht="33.950000000000003" customHeight="1" thickBot="1" x14ac:dyDescent="0.25">
      <c r="B9" s="197" t="str">
        <f>'Unos podataka'!F15</f>
        <v/>
      </c>
      <c r="C9" s="200" t="str">
        <f>'Unos podataka'!G15</f>
        <v/>
      </c>
      <c r="D9" s="870" t="str">
        <f>IF(B9&lt;&gt;"",'Unos podataka'!H15,"")</f>
        <v/>
      </c>
      <c r="E9" s="867"/>
      <c r="F9" s="592"/>
      <c r="G9" s="225" t="str">
        <f t="shared" ref="G9:G12" si="0">IF(F9="","","***")</f>
        <v/>
      </c>
      <c r="H9" s="246">
        <f t="shared" ref="H9:H12" si="1">IF(F9=$O$6,1,0)</f>
        <v>1</v>
      </c>
    </row>
    <row r="10" spans="2:15" ht="33.950000000000003" customHeight="1" thickBot="1" x14ac:dyDescent="0.25">
      <c r="B10" s="197" t="str">
        <f>'Unos podataka'!F16</f>
        <v/>
      </c>
      <c r="C10" s="200" t="str">
        <f>'Unos podataka'!G16</f>
        <v/>
      </c>
      <c r="D10" s="870" t="str">
        <f>IF(B10&lt;&gt;"",'Unos podataka'!H16,"")</f>
        <v/>
      </c>
      <c r="E10" s="867"/>
      <c r="F10" s="592"/>
      <c r="G10" s="225" t="str">
        <f t="shared" si="0"/>
        <v/>
      </c>
      <c r="H10" s="246">
        <f t="shared" si="1"/>
        <v>1</v>
      </c>
    </row>
    <row r="11" spans="2:15" ht="33.950000000000003" customHeight="1" thickBot="1" x14ac:dyDescent="0.25">
      <c r="B11" s="197" t="str">
        <f>'Unos podataka'!F17</f>
        <v/>
      </c>
      <c r="C11" s="353" t="str">
        <f>'Unos podataka'!G17</f>
        <v/>
      </c>
      <c r="D11" s="870" t="str">
        <f>IF(B11&lt;&gt;"",'Unos podataka'!H17,"")</f>
        <v/>
      </c>
      <c r="E11" s="867"/>
      <c r="F11" s="592"/>
      <c r="G11" s="225" t="str">
        <f t="shared" si="0"/>
        <v/>
      </c>
      <c r="H11" s="246">
        <f t="shared" si="1"/>
        <v>1</v>
      </c>
    </row>
    <row r="12" spans="2:15" ht="33.950000000000003" customHeight="1" thickBot="1" x14ac:dyDescent="0.25">
      <c r="B12" s="197" t="str">
        <f>'Unos podataka'!F18</f>
        <v/>
      </c>
      <c r="C12" s="586" t="str">
        <f>'Unos podataka'!G18</f>
        <v/>
      </c>
      <c r="D12" s="867" t="str">
        <f>IF(B12&lt;&gt;"",'Unos podataka'!H18,"")</f>
        <v/>
      </c>
      <c r="E12" s="867"/>
      <c r="F12" s="592"/>
      <c r="G12" s="588" t="str">
        <f t="shared" si="0"/>
        <v/>
      </c>
      <c r="H12" s="246">
        <f t="shared" si="1"/>
        <v>1</v>
      </c>
    </row>
    <row r="13" spans="2:15" ht="14.1" customHeight="1" thickBot="1" x14ac:dyDescent="0.25">
      <c r="B13" s="204"/>
      <c r="C13" s="51"/>
      <c r="D13" s="51"/>
      <c r="E13" s="51"/>
      <c r="F13" s="51"/>
      <c r="G13" s="51"/>
      <c r="H13" s="205"/>
    </row>
    <row r="14" spans="2:15" ht="15.75" thickBot="1" x14ac:dyDescent="0.25"/>
    <row r="15" spans="2:15" x14ac:dyDescent="0.2">
      <c r="B15" s="241"/>
      <c r="C15" s="242"/>
      <c r="D15" s="242"/>
      <c r="E15" s="242"/>
      <c r="F15" s="242"/>
      <c r="G15" s="242"/>
      <c r="H15" s="243"/>
    </row>
    <row r="16" spans="2:15" ht="18" x14ac:dyDescent="0.25">
      <c r="B16" s="45"/>
      <c r="C16" s="228" t="s">
        <v>30</v>
      </c>
      <c r="D16" s="46"/>
      <c r="E16" s="46"/>
      <c r="F16" s="46"/>
      <c r="G16" s="46"/>
      <c r="H16" s="49"/>
      <c r="M16" s="201"/>
    </row>
    <row r="17" spans="2:8" ht="15.75" thickBot="1" x14ac:dyDescent="0.25">
      <c r="B17" s="45"/>
      <c r="C17" s="46"/>
      <c r="D17" s="46"/>
      <c r="E17" s="46"/>
      <c r="F17" s="46"/>
      <c r="G17" s="46"/>
      <c r="H17" s="49"/>
    </row>
    <row r="18" spans="2:8" ht="15.95" customHeight="1" x14ac:dyDescent="0.2">
      <c r="B18" s="45"/>
      <c r="C18" s="871" t="s">
        <v>313</v>
      </c>
      <c r="D18" s="872"/>
      <c r="E18" s="877" t="s">
        <v>316</v>
      </c>
      <c r="F18" s="877"/>
      <c r="G18" s="878"/>
      <c r="H18" s="244"/>
    </row>
    <row r="19" spans="2:8" x14ac:dyDescent="0.2">
      <c r="B19" s="45"/>
      <c r="C19" s="873"/>
      <c r="D19" s="874"/>
      <c r="E19" s="879"/>
      <c r="F19" s="879"/>
      <c r="G19" s="880"/>
      <c r="H19" s="244"/>
    </row>
    <row r="20" spans="2:8" x14ac:dyDescent="0.2">
      <c r="B20" s="45"/>
      <c r="C20" s="873"/>
      <c r="D20" s="874"/>
      <c r="E20" s="879"/>
      <c r="F20" s="879"/>
      <c r="G20" s="880"/>
      <c r="H20" s="244"/>
    </row>
    <row r="21" spans="2:8" x14ac:dyDescent="0.2">
      <c r="B21" s="45"/>
      <c r="C21" s="873"/>
      <c r="D21" s="874"/>
      <c r="E21" s="879"/>
      <c r="F21" s="879"/>
      <c r="G21" s="880"/>
      <c r="H21" s="244"/>
    </row>
    <row r="22" spans="2:8" ht="15.75" thickBot="1" x14ac:dyDescent="0.25">
      <c r="B22" s="45"/>
      <c r="C22" s="875"/>
      <c r="D22" s="876"/>
      <c r="E22" s="881"/>
      <c r="F22" s="881"/>
      <c r="G22" s="882"/>
      <c r="H22" s="244"/>
    </row>
    <row r="23" spans="2:8" ht="16.5" thickBot="1" x14ac:dyDescent="0.3">
      <c r="B23" s="45"/>
      <c r="C23" s="245"/>
      <c r="D23" s="46"/>
      <c r="E23" s="46"/>
      <c r="F23" s="46"/>
      <c r="G23" s="46"/>
      <c r="H23" s="49"/>
    </row>
    <row r="24" spans="2:8" ht="15.95" customHeight="1" x14ac:dyDescent="0.2">
      <c r="B24" s="45"/>
      <c r="C24" s="871" t="s">
        <v>314</v>
      </c>
      <c r="D24" s="872"/>
      <c r="E24" s="877" t="s">
        <v>317</v>
      </c>
      <c r="F24" s="877"/>
      <c r="G24" s="878"/>
      <c r="H24" s="244"/>
    </row>
    <row r="25" spans="2:8" x14ac:dyDescent="0.2">
      <c r="B25" s="45"/>
      <c r="C25" s="873"/>
      <c r="D25" s="874"/>
      <c r="E25" s="879"/>
      <c r="F25" s="879"/>
      <c r="G25" s="880"/>
      <c r="H25" s="244"/>
    </row>
    <row r="26" spans="2:8" x14ac:dyDescent="0.2">
      <c r="B26" s="45"/>
      <c r="C26" s="873"/>
      <c r="D26" s="874"/>
      <c r="E26" s="879"/>
      <c r="F26" s="879"/>
      <c r="G26" s="880"/>
      <c r="H26" s="244"/>
    </row>
    <row r="27" spans="2:8" x14ac:dyDescent="0.2">
      <c r="B27" s="45"/>
      <c r="C27" s="873"/>
      <c r="D27" s="874"/>
      <c r="E27" s="879"/>
      <c r="F27" s="879"/>
      <c r="G27" s="880"/>
      <c r="H27" s="244"/>
    </row>
    <row r="28" spans="2:8" x14ac:dyDescent="0.2">
      <c r="B28" s="45"/>
      <c r="C28" s="873"/>
      <c r="D28" s="874"/>
      <c r="E28" s="879"/>
      <c r="F28" s="879"/>
      <c r="G28" s="880"/>
      <c r="H28" s="244"/>
    </row>
    <row r="29" spans="2:8" ht="15.75" thickBot="1" x14ac:dyDescent="0.25">
      <c r="B29" s="45"/>
      <c r="C29" s="875"/>
      <c r="D29" s="876"/>
      <c r="E29" s="881"/>
      <c r="F29" s="881"/>
      <c r="G29" s="882"/>
      <c r="H29" s="49"/>
    </row>
    <row r="30" spans="2:8" ht="15.75" thickBot="1" x14ac:dyDescent="0.25">
      <c r="B30" s="45"/>
      <c r="C30" s="46"/>
      <c r="D30" s="46"/>
      <c r="E30" s="46"/>
      <c r="F30" s="46"/>
      <c r="G30" s="46"/>
      <c r="H30" s="49"/>
    </row>
    <row r="31" spans="2:8" ht="15.95" customHeight="1" x14ac:dyDescent="0.2">
      <c r="B31" s="45"/>
      <c r="C31" s="871" t="s">
        <v>315</v>
      </c>
      <c r="D31" s="872"/>
      <c r="E31" s="877" t="s">
        <v>318</v>
      </c>
      <c r="F31" s="877"/>
      <c r="G31" s="878"/>
      <c r="H31" s="244"/>
    </row>
    <row r="32" spans="2:8" ht="15.75" thickBot="1" x14ac:dyDescent="0.25">
      <c r="B32" s="45"/>
      <c r="C32" s="875"/>
      <c r="D32" s="876"/>
      <c r="E32" s="881"/>
      <c r="F32" s="881"/>
      <c r="G32" s="882"/>
      <c r="H32" s="244"/>
    </row>
    <row r="33" spans="2:8" ht="15.75" thickBot="1" x14ac:dyDescent="0.25">
      <c r="B33" s="204"/>
      <c r="C33" s="51"/>
      <c r="D33" s="51"/>
      <c r="E33" s="51"/>
      <c r="F33" s="51"/>
      <c r="G33" s="51"/>
      <c r="H33" s="205"/>
    </row>
    <row r="34" spans="2:8" ht="15.75" thickBot="1" x14ac:dyDescent="0.25"/>
    <row r="35" spans="2:8" x14ac:dyDescent="0.2">
      <c r="B35" s="241"/>
      <c r="C35" s="242"/>
      <c r="D35" s="242"/>
      <c r="E35" s="242"/>
      <c r="F35" s="242"/>
      <c r="G35" s="242"/>
      <c r="H35" s="243"/>
    </row>
    <row r="36" spans="2:8" ht="23.25" x14ac:dyDescent="0.35">
      <c r="B36" s="45"/>
      <c r="C36" s="866" t="str">
        <f>IF(C8="","",IF(SUMPRODUCT(B8:B12,H8:H12)&lt;&gt;0,"Ocjena kriterija nije završena!", "Sva vodna tijela su ocijenjena!"))</f>
        <v/>
      </c>
      <c r="D36" s="866"/>
      <c r="E36" s="866"/>
      <c r="F36" s="866"/>
      <c r="G36" s="631">
        <f>IF(C8="",0,IF(SUMPRODUCT(B8:B12,H8:H12)&lt;&gt;0,0,1))</f>
        <v>0</v>
      </c>
      <c r="H36" s="49"/>
    </row>
    <row r="37" spans="2:8" ht="15.75" thickBot="1" x14ac:dyDescent="0.25">
      <c r="B37" s="204"/>
      <c r="C37" s="51"/>
      <c r="D37" s="51"/>
      <c r="E37" s="51"/>
      <c r="F37" s="51"/>
      <c r="G37" s="51"/>
      <c r="H37" s="205"/>
    </row>
  </sheetData>
  <sheetProtection algorithmName="SHA-512" hashValue="vcKVz21bd0p2WU3SLQ5icnMOjPhdFp/6SqFNSwzVI4X5fdXBdFbeOlo3nDCle+JepfpU0Or5L8aUapN+lzIY4A==" saltValue="6mSJIKaaJzUvJKz9/LdQRA==" spinCount="100000" sheet="1" objects="1" scenarios="1"/>
  <mergeCells count="13">
    <mergeCell ref="C36:F36"/>
    <mergeCell ref="C18:D22"/>
    <mergeCell ref="C24:D29"/>
    <mergeCell ref="C31:D32"/>
    <mergeCell ref="E18:G22"/>
    <mergeCell ref="E24:G29"/>
    <mergeCell ref="E31:G32"/>
    <mergeCell ref="D12:E12"/>
    <mergeCell ref="D7:E7"/>
    <mergeCell ref="D8:E8"/>
    <mergeCell ref="D9:E9"/>
    <mergeCell ref="D10:E10"/>
    <mergeCell ref="D11:E11"/>
  </mergeCells>
  <conditionalFormatting sqref="C8:C12">
    <cfRule type="expression" dxfId="155" priority="14">
      <formula>$C8="n.a."</formula>
    </cfRule>
  </conditionalFormatting>
  <conditionalFormatting sqref="F8:F12">
    <cfRule type="expression" dxfId="154" priority="11">
      <formula>B8&lt;&gt;1</formula>
    </cfRule>
  </conditionalFormatting>
  <conditionalFormatting sqref="G8:G12">
    <cfRule type="expression" dxfId="153" priority="8">
      <formula>B8=1</formula>
    </cfRule>
  </conditionalFormatting>
  <conditionalFormatting sqref="C36">
    <cfRule type="expression" dxfId="152" priority="1">
      <formula>SUMPRODUCT($B$8:$B$12,$H$8:$H$12)=0</formula>
    </cfRule>
  </conditionalFormatting>
  <dataValidations count="1">
    <dataValidation type="list" allowBlank="1" showInputMessage="1" showErrorMessage="1" error="Wrong input!" prompt="Izaberite stepen osjetljivosti " sqref="F8:F12" xr:uid="{00000000-0002-0000-2000-000000000000}">
      <formula1>$O$3:$O$6</formula1>
    </dataValidation>
  </dataValidations>
  <pageMargins left="0.7" right="0.7" top="0.78740157499999996" bottom="0.78740157499999996"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Tabelle32"/>
  <dimension ref="B1:P17"/>
  <sheetViews>
    <sheetView showGridLines="0" workbookViewId="0">
      <selection activeCell="K34" sqref="K34"/>
    </sheetView>
  </sheetViews>
  <sheetFormatPr defaultColWidth="10.875" defaultRowHeight="15" outlineLevelCol="1" x14ac:dyDescent="0.2"/>
  <cols>
    <col min="1" max="1" width="2.875" style="80" customWidth="1"/>
    <col min="2" max="2" width="4.125" style="80" customWidth="1"/>
    <col min="3" max="3" width="9.125" style="80" customWidth="1"/>
    <col min="4" max="4" width="10.875" style="80"/>
    <col min="5" max="5" width="12.375" style="80" customWidth="1"/>
    <col min="6" max="6" width="46.125" style="80" customWidth="1"/>
    <col min="7" max="7" width="17.5" style="80" customWidth="1"/>
    <col min="8" max="8" width="10.625" style="80" customWidth="1"/>
    <col min="9" max="9" width="4.125" style="80" customWidth="1"/>
    <col min="10" max="12" width="10.875" style="80"/>
    <col min="13" max="13" width="58.625" style="80" customWidth="1" outlineLevel="1"/>
    <col min="14" max="14" width="10.875" style="80" customWidth="1" outlineLevel="1"/>
    <col min="15" max="15" width="21.875" style="80" customWidth="1" outlineLevel="1"/>
    <col min="16" max="16" width="21.125" style="80" customWidth="1" outlineLevel="1"/>
    <col min="17" max="16384" width="10.875" style="80"/>
  </cols>
  <sheetData>
    <row r="1" spans="2:16" s="1" customFormat="1" ht="17.100000000000001" customHeight="1" thickBot="1" x14ac:dyDescent="0.25">
      <c r="C1" s="24"/>
      <c r="D1" s="24"/>
      <c r="E1" s="24"/>
      <c r="G1" s="25"/>
      <c r="H1" s="25"/>
    </row>
    <row r="2" spans="2:16" s="1" customFormat="1" ht="14.1" customHeight="1" thickBot="1" x14ac:dyDescent="0.25">
      <c r="B2" s="182"/>
      <c r="C2" s="183"/>
      <c r="D2" s="183"/>
      <c r="E2" s="183"/>
      <c r="F2" s="184"/>
      <c r="G2" s="184"/>
      <c r="H2" s="184"/>
      <c r="I2" s="185"/>
      <c r="K2" s="25"/>
      <c r="M2" s="182" t="s">
        <v>320</v>
      </c>
      <c r="N2" s="184"/>
      <c r="O2" s="184"/>
      <c r="P2" s="185"/>
    </row>
    <row r="3" spans="2:16" s="1" customFormat="1" ht="17.100000000000001" customHeight="1" x14ac:dyDescent="0.2">
      <c r="B3" s="47"/>
      <c r="C3" s="186" t="s">
        <v>319</v>
      </c>
      <c r="D3" s="186"/>
      <c r="E3" s="186"/>
      <c r="F3" s="186"/>
      <c r="G3" s="186"/>
      <c r="H3" s="186"/>
      <c r="I3" s="187"/>
      <c r="K3" s="25"/>
      <c r="M3" s="217" t="s">
        <v>322</v>
      </c>
      <c r="N3" s="218">
        <v>1</v>
      </c>
      <c r="O3" s="218" t="s">
        <v>1</v>
      </c>
      <c r="P3" s="219" t="s">
        <v>270</v>
      </c>
    </row>
    <row r="4" spans="2:16" s="1" customFormat="1" ht="17.100000000000001" customHeight="1" thickBot="1" x14ac:dyDescent="0.25">
      <c r="B4" s="188"/>
      <c r="C4" s="189"/>
      <c r="D4" s="189"/>
      <c r="E4" s="189"/>
      <c r="F4" s="189"/>
      <c r="G4" s="189"/>
      <c r="H4" s="189"/>
      <c r="I4" s="190"/>
      <c r="K4" s="25"/>
      <c r="M4" s="220" t="s">
        <v>323</v>
      </c>
      <c r="N4" s="216">
        <v>2</v>
      </c>
      <c r="O4" s="216" t="s">
        <v>1</v>
      </c>
      <c r="P4" s="221" t="s">
        <v>271</v>
      </c>
    </row>
    <row r="5" spans="2:16" s="1" customFormat="1" ht="14.1" customHeight="1" thickBot="1" x14ac:dyDescent="0.25">
      <c r="M5" s="220" t="s">
        <v>324</v>
      </c>
      <c r="N5" s="216">
        <v>3</v>
      </c>
      <c r="O5" s="216" t="s">
        <v>1</v>
      </c>
      <c r="P5" s="221" t="s">
        <v>297</v>
      </c>
    </row>
    <row r="6" spans="2:16" s="1" customFormat="1" ht="13.5" thickBot="1" x14ac:dyDescent="0.25">
      <c r="B6" s="182"/>
      <c r="C6" s="184"/>
      <c r="D6" s="184"/>
      <c r="E6" s="184"/>
      <c r="F6" s="11"/>
      <c r="G6" s="11"/>
      <c r="H6" s="11"/>
      <c r="I6" s="20"/>
      <c r="M6" s="222"/>
      <c r="N6" s="223">
        <v>4</v>
      </c>
      <c r="O6" s="223"/>
      <c r="P6" s="224"/>
    </row>
    <row r="7" spans="2:16" s="179" customFormat="1" ht="35.1" customHeight="1" thickBot="1" x14ac:dyDescent="0.25">
      <c r="B7" s="194"/>
      <c r="C7" s="208" t="s">
        <v>273</v>
      </c>
      <c r="D7" s="868" t="s">
        <v>74</v>
      </c>
      <c r="E7" s="869"/>
      <c r="F7" s="208" t="s">
        <v>321</v>
      </c>
      <c r="G7" s="209" t="s">
        <v>80</v>
      </c>
      <c r="H7" s="208" t="s">
        <v>145</v>
      </c>
      <c r="I7" s="21"/>
    </row>
    <row r="8" spans="2:16" ht="57.95" customHeight="1" thickBot="1" x14ac:dyDescent="0.25">
      <c r="B8" s="197" t="str">
        <f>'Unos podataka'!F14</f>
        <v/>
      </c>
      <c r="C8" s="200" t="str">
        <f>'Unos podataka'!G14</f>
        <v/>
      </c>
      <c r="D8" s="870" t="str">
        <f>IF(B8&lt;&gt;"",'Unos podataka'!H14,"")</f>
        <v/>
      </c>
      <c r="E8" s="867"/>
      <c r="F8" s="590"/>
      <c r="G8" s="210" t="str">
        <f>IF(F8="","",VLOOKUP(MATCH(F8,$M$3:$M$5,0),$N$3:$P$5,3))</f>
        <v/>
      </c>
      <c r="H8" s="225" t="str">
        <f>IF(F8="","","*")</f>
        <v/>
      </c>
      <c r="I8" s="246">
        <f>IF(F8="",1,0)</f>
        <v>1</v>
      </c>
    </row>
    <row r="9" spans="2:16" ht="57.95" customHeight="1" thickBot="1" x14ac:dyDescent="0.25">
      <c r="B9" s="197" t="str">
        <f>'Unos podataka'!F15</f>
        <v/>
      </c>
      <c r="C9" s="200" t="str">
        <f>'Unos podataka'!G15</f>
        <v/>
      </c>
      <c r="D9" s="870" t="str">
        <f>IF(B9&lt;&gt;"",'Unos podataka'!H15,"")</f>
        <v/>
      </c>
      <c r="E9" s="867"/>
      <c r="F9" s="590"/>
      <c r="G9" s="210" t="str">
        <f>IF(F9="","",VLOOKUP(MATCH(F9,$M$3:$M$5,0),$N$3:$P$5,3))</f>
        <v/>
      </c>
      <c r="H9" s="225" t="str">
        <f>IF(F9="","","*")</f>
        <v/>
      </c>
      <c r="I9" s="246">
        <f>IF(F9="",1,0)</f>
        <v>1</v>
      </c>
    </row>
    <row r="10" spans="2:16" ht="57.95" customHeight="1" thickBot="1" x14ac:dyDescent="0.25">
      <c r="B10" s="197" t="str">
        <f>'Unos podataka'!F16</f>
        <v/>
      </c>
      <c r="C10" s="200" t="str">
        <f>'Unos podataka'!G16</f>
        <v/>
      </c>
      <c r="D10" s="870" t="str">
        <f>IF(B10&lt;&gt;"",'Unos podataka'!H16,"")</f>
        <v/>
      </c>
      <c r="E10" s="867"/>
      <c r="F10" s="590"/>
      <c r="G10" s="210" t="str">
        <f>IF(F10="","",VLOOKUP(MATCH(F10,$M$3:$M$5,0),$N$3:$P$5,3))</f>
        <v/>
      </c>
      <c r="H10" s="225" t="str">
        <f>IF(F10="","","*")</f>
        <v/>
      </c>
      <c r="I10" s="246">
        <f>IF(F10="",1,0)</f>
        <v>1</v>
      </c>
    </row>
    <row r="11" spans="2:16" ht="57.95" customHeight="1" thickBot="1" x14ac:dyDescent="0.25">
      <c r="B11" s="197" t="str">
        <f>'Unos podataka'!F17</f>
        <v/>
      </c>
      <c r="C11" s="353" t="str">
        <f>'Unos podataka'!G17</f>
        <v/>
      </c>
      <c r="D11" s="870" t="str">
        <f>IF(B11&lt;&gt;"",'Unos podataka'!H17,"")</f>
        <v/>
      </c>
      <c r="E11" s="867"/>
      <c r="F11" s="590"/>
      <c r="G11" s="210" t="str">
        <f>IF(F11="","",VLOOKUP(MATCH(F11,$M$3:$M$5,0),$N$3:$P$5,3))</f>
        <v/>
      </c>
      <c r="H11" s="225" t="str">
        <f>IF(F11="","","*")</f>
        <v/>
      </c>
      <c r="I11" s="246">
        <f>IF(F11="",1,0)</f>
        <v>1</v>
      </c>
    </row>
    <row r="12" spans="2:16" ht="57.95" customHeight="1" thickBot="1" x14ac:dyDescent="0.25">
      <c r="B12" s="197" t="str">
        <f>'Unos podataka'!F18</f>
        <v/>
      </c>
      <c r="C12" s="586" t="str">
        <f>'Unos podataka'!G18</f>
        <v/>
      </c>
      <c r="D12" s="867" t="str">
        <f>IF(B12&lt;&gt;"",'Unos podataka'!H18,"")</f>
        <v/>
      </c>
      <c r="E12" s="867"/>
      <c r="F12" s="590"/>
      <c r="G12" s="587" t="str">
        <f>IF(F12="","",VLOOKUP(MATCH(F12,$M$3:$M$5,0),$N$3:$P$5,3))</f>
        <v/>
      </c>
      <c r="H12" s="591" t="str">
        <f>IF(F12="","","*")</f>
        <v/>
      </c>
      <c r="I12" s="246">
        <f>IF(F12="",1,0)</f>
        <v>1</v>
      </c>
    </row>
    <row r="13" spans="2:16" ht="14.1" customHeight="1" thickBot="1" x14ac:dyDescent="0.25">
      <c r="B13" s="204"/>
      <c r="C13" s="51"/>
      <c r="D13" s="51"/>
      <c r="E13" s="51"/>
      <c r="F13" s="51"/>
      <c r="G13" s="51"/>
      <c r="H13" s="51"/>
      <c r="I13" s="205"/>
    </row>
    <row r="14" spans="2:16" ht="15.75" thickBot="1" x14ac:dyDescent="0.25"/>
    <row r="15" spans="2:16" x14ac:dyDescent="0.2">
      <c r="B15" s="241"/>
      <c r="C15" s="242"/>
      <c r="D15" s="242"/>
      <c r="E15" s="242"/>
      <c r="F15" s="242"/>
      <c r="G15" s="242"/>
      <c r="H15" s="242"/>
      <c r="I15" s="243"/>
    </row>
    <row r="16" spans="2:16" ht="23.25" x14ac:dyDescent="0.35">
      <c r="B16" s="45"/>
      <c r="C16" s="866" t="str">
        <f>IF(C8="","",IF(SUMPRODUCT(B8:B12,I8:I12)&lt;&gt;0,"Ocjena kriterija nije završena!", "Sva vodna tijela su ocjenjena!"))</f>
        <v/>
      </c>
      <c r="D16" s="866"/>
      <c r="E16" s="866"/>
      <c r="F16" s="866"/>
      <c r="G16" s="866"/>
      <c r="H16" s="631">
        <f>IF(C8="",0,IF(SUMPRODUCT(B8:B12,I8:I12)&lt;&gt;0,0,1))</f>
        <v>0</v>
      </c>
      <c r="I16" s="49"/>
      <c r="M16" s="201"/>
    </row>
    <row r="17" spans="2:9" ht="15.75" thickBot="1" x14ac:dyDescent="0.25">
      <c r="B17" s="204"/>
      <c r="C17" s="51"/>
      <c r="D17" s="51"/>
      <c r="E17" s="51"/>
      <c r="F17" s="51"/>
      <c r="G17" s="51"/>
      <c r="H17" s="51"/>
      <c r="I17" s="205"/>
    </row>
  </sheetData>
  <sheetProtection algorithmName="SHA-512" hashValue="Pu3qlzmp1ZHZXitdPgZDYW+Yk4f4Gg62qFDr8jtHp/5H94DzwQLnIVc5frSjmlYT5xUE+xL94NNWyoGoq6GZCg==" saltValue="gsPDJ2+DB1pLTANp1szjBQ==" spinCount="100000" sheet="1" objects="1" scenarios="1"/>
  <dataConsolidate/>
  <mergeCells count="7">
    <mergeCell ref="D12:E12"/>
    <mergeCell ref="C16:G16"/>
    <mergeCell ref="D7:E7"/>
    <mergeCell ref="D8:E8"/>
    <mergeCell ref="D9:E9"/>
    <mergeCell ref="D10:E10"/>
    <mergeCell ref="D11:E11"/>
  </mergeCells>
  <conditionalFormatting sqref="C8:C12">
    <cfRule type="expression" dxfId="151" priority="14">
      <formula>$C8="n.a."</formula>
    </cfRule>
  </conditionalFormatting>
  <conditionalFormatting sqref="F8:F12">
    <cfRule type="expression" dxfId="150" priority="12">
      <formula>B8&lt;&gt;1</formula>
    </cfRule>
  </conditionalFormatting>
  <conditionalFormatting sqref="G8:G12">
    <cfRule type="expression" dxfId="149" priority="11">
      <formula>B8&lt;&gt;1</formula>
    </cfRule>
  </conditionalFormatting>
  <conditionalFormatting sqref="H8">
    <cfRule type="expression" dxfId="148" priority="8">
      <formula>B8=1</formula>
    </cfRule>
  </conditionalFormatting>
  <conditionalFormatting sqref="C16">
    <cfRule type="expression" dxfId="147" priority="5">
      <formula>SUMPRODUCT($B$8:$B$12,$I$8:$I$12)=0</formula>
    </cfRule>
  </conditionalFormatting>
  <conditionalFormatting sqref="H9">
    <cfRule type="expression" dxfId="146" priority="4">
      <formula>B9=1</formula>
    </cfRule>
  </conditionalFormatting>
  <conditionalFormatting sqref="H10">
    <cfRule type="expression" dxfId="145" priority="3">
      <formula>B10=1</formula>
    </cfRule>
  </conditionalFormatting>
  <conditionalFormatting sqref="H11">
    <cfRule type="expression" dxfId="144" priority="2">
      <formula>B11=1</formula>
    </cfRule>
  </conditionalFormatting>
  <conditionalFormatting sqref="H12">
    <cfRule type="expression" dxfId="143" priority="1">
      <formula>B12=1</formula>
    </cfRule>
  </conditionalFormatting>
  <dataValidations count="1">
    <dataValidation type="list" allowBlank="1" showInputMessage="1" showErrorMessage="1" error="Wrong input!" prompt="Izaberite nivo toplotnog zagađenja vodnog tijela" sqref="F8:F12" xr:uid="{BF1796AB-4F7F-784D-BEA2-71B2E0F2F3EF}">
      <formula1>$M$3:$M$6</formula1>
    </dataValidation>
  </dataValidations>
  <pageMargins left="0.7" right="0.7" top="0.78740157499999996" bottom="0.78740157499999996" header="0.3" footer="0.3"/>
</worksheet>
</file>

<file path=xl/worksheets/sheet3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Tabelle33"/>
  <dimension ref="B1:X17"/>
  <sheetViews>
    <sheetView showGridLines="0" workbookViewId="0">
      <selection activeCell="G24" sqref="G24"/>
    </sheetView>
  </sheetViews>
  <sheetFormatPr defaultColWidth="10.875" defaultRowHeight="15" outlineLevelCol="1" x14ac:dyDescent="0.2"/>
  <cols>
    <col min="1" max="1" width="2.875" style="80" customWidth="1"/>
    <col min="2" max="2" width="4.125" style="80" customWidth="1"/>
    <col min="3" max="3" width="8.625" style="80" customWidth="1"/>
    <col min="4" max="4" width="10.875" style="80"/>
    <col min="5" max="5" width="12.375" style="80" customWidth="1"/>
    <col min="6" max="6" width="23" style="80" customWidth="1"/>
    <col min="7" max="7" width="17.5" style="80" customWidth="1"/>
    <col min="8" max="8" width="17.125" style="80" customWidth="1"/>
    <col min="9" max="9" width="10.875" style="80"/>
    <col min="10" max="10" width="4.125" style="80" customWidth="1"/>
    <col min="11" max="11" width="10.875" style="80"/>
    <col min="12" max="12" width="30.625" style="80" customWidth="1"/>
    <col min="13" max="13" width="10.5" style="80" customWidth="1"/>
    <col min="14" max="14" width="9.625" style="80" customWidth="1"/>
    <col min="15" max="15" width="17.5" style="80" hidden="1" customWidth="1" outlineLevel="1"/>
    <col min="16" max="17" width="10.875" style="80" hidden="1" customWidth="1" outlineLevel="1"/>
    <col min="18" max="18" width="2" style="80" hidden="1" customWidth="1" outlineLevel="1"/>
    <col min="19" max="19" width="15" style="80" hidden="1" customWidth="1" outlineLevel="1"/>
    <col min="20" max="20" width="14" style="80" hidden="1" customWidth="1" outlineLevel="1"/>
    <col min="21" max="21" width="15" style="80" hidden="1" customWidth="1" outlineLevel="1"/>
    <col min="22" max="22" width="7.625" style="80" hidden="1" customWidth="1" outlineLevel="1"/>
    <col min="23" max="23" width="5.125" style="80" hidden="1" customWidth="1" outlineLevel="1"/>
    <col min="24" max="24" width="10.875" style="80" collapsed="1"/>
    <col min="25" max="16384" width="10.875" style="80"/>
  </cols>
  <sheetData>
    <row r="1" spans="2:23" s="1" customFormat="1" ht="17.100000000000001" customHeight="1" thickBot="1" x14ac:dyDescent="0.25">
      <c r="C1" s="24"/>
      <c r="D1" s="24"/>
      <c r="E1" s="24"/>
      <c r="G1" s="25"/>
      <c r="H1" s="25"/>
    </row>
    <row r="2" spans="2:23" s="1" customFormat="1" ht="14.1" customHeight="1" x14ac:dyDescent="0.2">
      <c r="B2" s="182"/>
      <c r="C2" s="183"/>
      <c r="D2" s="183"/>
      <c r="E2" s="183"/>
      <c r="F2" s="184"/>
      <c r="G2" s="184"/>
      <c r="H2" s="184"/>
      <c r="I2" s="184"/>
      <c r="J2" s="185"/>
    </row>
    <row r="3" spans="2:23" s="1" customFormat="1" ht="17.100000000000001" customHeight="1" x14ac:dyDescent="0.2">
      <c r="B3" s="47"/>
      <c r="C3" s="186" t="s">
        <v>325</v>
      </c>
      <c r="D3" s="186"/>
      <c r="E3" s="186"/>
      <c r="F3" s="186"/>
      <c r="G3" s="186"/>
      <c r="H3" s="186"/>
      <c r="I3" s="186"/>
      <c r="J3" s="187"/>
    </row>
    <row r="4" spans="2:23" s="1" customFormat="1" ht="17.100000000000001" customHeight="1" thickBot="1" x14ac:dyDescent="0.25">
      <c r="B4" s="188"/>
      <c r="C4" s="189"/>
      <c r="D4" s="189"/>
      <c r="E4" s="189"/>
      <c r="F4" s="189"/>
      <c r="G4" s="189"/>
      <c r="H4" s="189"/>
      <c r="I4" s="189"/>
      <c r="J4" s="190"/>
    </row>
    <row r="5" spans="2:23" s="1" customFormat="1" ht="14.1" customHeight="1" thickBot="1" x14ac:dyDescent="0.25">
      <c r="O5" s="227" t="s">
        <v>328</v>
      </c>
      <c r="P5" s="191"/>
      <c r="Q5" s="191"/>
      <c r="R5" s="191"/>
      <c r="S5" s="191"/>
      <c r="T5" s="191"/>
      <c r="U5" s="191"/>
      <c r="V5" s="191"/>
      <c r="W5" s="191"/>
    </row>
    <row r="6" spans="2:23" s="1" customFormat="1" ht="17.100000000000001" customHeight="1" thickBot="1" x14ac:dyDescent="0.25">
      <c r="B6" s="182"/>
      <c r="C6" s="184"/>
      <c r="D6" s="184"/>
      <c r="E6" s="184"/>
      <c r="F6" s="11"/>
      <c r="G6" s="11"/>
      <c r="H6" s="11"/>
      <c r="I6" s="11"/>
      <c r="J6" s="20"/>
      <c r="S6" s="883" t="s">
        <v>332</v>
      </c>
      <c r="T6" s="884"/>
      <c r="U6" s="884"/>
      <c r="V6" s="887"/>
      <c r="W6" s="888"/>
    </row>
    <row r="7" spans="2:23" s="179" customFormat="1" ht="35.1" customHeight="1" thickBot="1" x14ac:dyDescent="0.25">
      <c r="B7" s="194"/>
      <c r="C7" s="208" t="s">
        <v>280</v>
      </c>
      <c r="D7" s="868" t="s">
        <v>74</v>
      </c>
      <c r="E7" s="869"/>
      <c r="F7" s="208" t="s">
        <v>326</v>
      </c>
      <c r="G7" s="208" t="s">
        <v>327</v>
      </c>
      <c r="H7" s="209" t="s">
        <v>80</v>
      </c>
      <c r="I7" s="208" t="s">
        <v>145</v>
      </c>
      <c r="J7" s="21"/>
      <c r="L7" s="1"/>
      <c r="M7" s="1"/>
      <c r="N7" s="1"/>
      <c r="O7" s="253" t="s">
        <v>329</v>
      </c>
      <c r="P7" s="259" t="s">
        <v>330</v>
      </c>
      <c r="Q7" s="260" t="s">
        <v>331</v>
      </c>
      <c r="S7" s="267" t="s">
        <v>31</v>
      </c>
      <c r="T7" s="267" t="s">
        <v>32</v>
      </c>
      <c r="U7" s="268" t="s">
        <v>33</v>
      </c>
      <c r="V7" s="889"/>
      <c r="W7" s="890"/>
    </row>
    <row r="8" spans="2:23" ht="33.950000000000003" customHeight="1" thickBot="1" x14ac:dyDescent="0.25">
      <c r="B8" s="197" t="str">
        <f>'Unos podataka'!F14</f>
        <v/>
      </c>
      <c r="C8" s="200" t="str">
        <f>'Unos podataka'!G14</f>
        <v/>
      </c>
      <c r="D8" s="870" t="str">
        <f>IF(B8&lt;&gt;"",'Unos podataka'!H14,"")</f>
        <v/>
      </c>
      <c r="E8" s="867"/>
      <c r="F8" s="248" t="str">
        <f>IF('EV3 - Površina sliva'!F8&lt;&gt;"",'EV3 - Površina sliva'!F8,"")</f>
        <v/>
      </c>
      <c r="G8" s="590"/>
      <c r="H8" s="210" t="str">
        <f>IF(G8&lt;&gt;"",INDEX($S$9:$U$13,Q8,P8),"")</f>
        <v/>
      </c>
      <c r="I8" s="225" t="str">
        <f>IF(F8&lt;&gt;"","***","")</f>
        <v/>
      </c>
      <c r="J8" s="246">
        <f>IF(G8="",1,0)</f>
        <v>1</v>
      </c>
      <c r="O8" s="254">
        <v>0</v>
      </c>
      <c r="P8" s="715" t="str">
        <f>IF(F8&lt;&gt;"",MATCH(F8,$O$8:$O$10),"")</f>
        <v/>
      </c>
      <c r="Q8" s="716">
        <f>MATCH(G8,$V$9:$V$13)</f>
        <v>1</v>
      </c>
      <c r="S8" s="265">
        <v>1</v>
      </c>
      <c r="T8" s="266">
        <v>2</v>
      </c>
      <c r="U8" s="269">
        <v>3</v>
      </c>
      <c r="V8" s="891"/>
      <c r="W8" s="892"/>
    </row>
    <row r="9" spans="2:23" ht="33.950000000000003" customHeight="1" thickBot="1" x14ac:dyDescent="0.25">
      <c r="B9" s="197" t="str">
        <f>'Unos podataka'!F15</f>
        <v/>
      </c>
      <c r="C9" s="200" t="str">
        <f>'Unos podataka'!G15</f>
        <v/>
      </c>
      <c r="D9" s="870" t="str">
        <f>IF(B9&lt;&gt;"",'Unos podataka'!H15,"")</f>
        <v/>
      </c>
      <c r="E9" s="867"/>
      <c r="F9" s="248" t="str">
        <f>IF('EV3 - Površina sliva'!F9&lt;&gt;"",'EV3 - Površina sliva'!F9,"")</f>
        <v/>
      </c>
      <c r="G9" s="590"/>
      <c r="H9" s="210" t="str">
        <f>IF(G9&lt;&gt;"",INDEX($S$9:$U$13,Q9,P9),"")</f>
        <v/>
      </c>
      <c r="I9" s="225" t="str">
        <f>IF(F9&lt;&gt;"","***","")</f>
        <v/>
      </c>
      <c r="J9" s="246">
        <f>IF(G9="",1,0)</f>
        <v>1</v>
      </c>
      <c r="O9" s="255">
        <v>50</v>
      </c>
      <c r="P9" s="257" t="str">
        <f t="shared" ref="P9:P12" si="0">IF(F9&lt;&gt;"",MATCH(F9,$O$8:$O$10),"")</f>
        <v/>
      </c>
      <c r="Q9" s="258">
        <f>MATCH(G9,$V$9:$V$13)</f>
        <v>1</v>
      </c>
      <c r="S9" s="656" t="s">
        <v>272</v>
      </c>
      <c r="T9" s="658" t="s">
        <v>272</v>
      </c>
      <c r="U9" s="657" t="s">
        <v>272</v>
      </c>
      <c r="V9" s="272">
        <v>0</v>
      </c>
      <c r="W9" s="885" t="s">
        <v>333</v>
      </c>
    </row>
    <row r="10" spans="2:23" ht="33.950000000000003" customHeight="1" thickBot="1" x14ac:dyDescent="0.25">
      <c r="B10" s="197" t="str">
        <f>'Unos podataka'!F16</f>
        <v/>
      </c>
      <c r="C10" s="200" t="str">
        <f>'Unos podataka'!G16</f>
        <v/>
      </c>
      <c r="D10" s="870" t="str">
        <f>IF(B10&lt;&gt;"",'Unos podataka'!H16,"")</f>
        <v/>
      </c>
      <c r="E10" s="867"/>
      <c r="F10" s="248" t="str">
        <f>IF('EV3 - Površina sliva'!F10&lt;&gt;"",'EV3 - Površina sliva'!F10,"")</f>
        <v/>
      </c>
      <c r="G10" s="590"/>
      <c r="H10" s="210" t="str">
        <f>IF(G10&lt;&gt;"",INDEX($S$9:$U$13,Q10,P10),"")</f>
        <v/>
      </c>
      <c r="I10" s="225" t="str">
        <f t="shared" ref="I10:I12" si="1">IF(F10&lt;&gt;"","***","")</f>
        <v/>
      </c>
      <c r="J10" s="246">
        <f>IF(G10="",1,0)</f>
        <v>1</v>
      </c>
      <c r="O10" s="256">
        <v>100</v>
      </c>
      <c r="P10" s="257" t="str">
        <f t="shared" si="0"/>
        <v/>
      </c>
      <c r="Q10" s="258">
        <f>MATCH(G10,$V$9:$V$13)</f>
        <v>1</v>
      </c>
      <c r="S10" s="261" t="s">
        <v>271</v>
      </c>
      <c r="T10" s="658" t="s">
        <v>272</v>
      </c>
      <c r="U10" s="657" t="s">
        <v>272</v>
      </c>
      <c r="V10" s="273">
        <v>50</v>
      </c>
      <c r="W10" s="885"/>
    </row>
    <row r="11" spans="2:23" ht="33.950000000000003" customHeight="1" thickBot="1" x14ac:dyDescent="0.25">
      <c r="B11" s="197" t="str">
        <f>'Unos podataka'!F17</f>
        <v/>
      </c>
      <c r="C11" s="353" t="str">
        <f>'Unos podataka'!G17</f>
        <v/>
      </c>
      <c r="D11" s="870" t="str">
        <f>IF(B11&lt;&gt;"",'Unos podataka'!H17,"")</f>
        <v/>
      </c>
      <c r="E11" s="867"/>
      <c r="F11" s="248" t="str">
        <f>IF('EV3 - Površina sliva'!F11&lt;&gt;"",'EV3 - Površina sliva'!F11,"")</f>
        <v/>
      </c>
      <c r="G11" s="590"/>
      <c r="H11" s="210" t="str">
        <f>IF(G11&lt;&gt;"",INDEX($S$9:$U$13,Q11,P11),"")</f>
        <v/>
      </c>
      <c r="I11" s="225" t="str">
        <f t="shared" si="1"/>
        <v/>
      </c>
      <c r="J11" s="246">
        <f>IF(G11="",1,0)</f>
        <v>1</v>
      </c>
      <c r="P11" s="257" t="str">
        <f t="shared" si="0"/>
        <v/>
      </c>
      <c r="Q11" s="258">
        <f>MATCH(G11,$V$9:$V$13)</f>
        <v>1</v>
      </c>
      <c r="S11" s="262" t="s">
        <v>270</v>
      </c>
      <c r="T11" s="251" t="s">
        <v>271</v>
      </c>
      <c r="U11" s="657" t="s">
        <v>272</v>
      </c>
      <c r="V11" s="273">
        <v>150</v>
      </c>
      <c r="W11" s="885"/>
    </row>
    <row r="12" spans="2:23" ht="33.950000000000003" customHeight="1" thickBot="1" x14ac:dyDescent="0.25">
      <c r="B12" s="197" t="str">
        <f>'Unos podataka'!F18</f>
        <v/>
      </c>
      <c r="C12" s="586" t="str">
        <f>'Unos podataka'!G18</f>
        <v/>
      </c>
      <c r="D12" s="867" t="str">
        <f>IF(B12&lt;&gt;"",'Unos podataka'!H18,"")</f>
        <v/>
      </c>
      <c r="E12" s="867"/>
      <c r="F12" s="248" t="str">
        <f>IF('EV3 - Površina sliva'!F12&lt;&gt;"",'EV3 - Površina sliva'!F12,"")</f>
        <v/>
      </c>
      <c r="G12" s="590"/>
      <c r="H12" s="210" t="str">
        <f>IF(G12&lt;&gt;"",INDEX($S$9:$U$13,Q12,P12),"")</f>
        <v/>
      </c>
      <c r="I12" s="226" t="str">
        <f t="shared" si="1"/>
        <v/>
      </c>
      <c r="J12" s="246">
        <f>IF(G12="",1,0)</f>
        <v>1</v>
      </c>
      <c r="P12" s="249" t="str">
        <f t="shared" si="0"/>
        <v/>
      </c>
      <c r="Q12" s="250">
        <f>MATCH(G12,$V$9:$V$13)</f>
        <v>1</v>
      </c>
      <c r="S12" s="262" t="s">
        <v>270</v>
      </c>
      <c r="T12" s="252" t="s">
        <v>270</v>
      </c>
      <c r="U12" s="270" t="s">
        <v>271</v>
      </c>
      <c r="V12" s="273">
        <v>500</v>
      </c>
      <c r="W12" s="885"/>
    </row>
    <row r="13" spans="2:23" ht="15.75" thickBot="1" x14ac:dyDescent="0.25">
      <c r="B13" s="204"/>
      <c r="C13" s="51"/>
      <c r="D13" s="51"/>
      <c r="E13" s="51"/>
      <c r="F13" s="51"/>
      <c r="G13" s="51"/>
      <c r="H13" s="51"/>
      <c r="I13" s="51"/>
      <c r="J13" s="205"/>
      <c r="S13" s="263" t="s">
        <v>270</v>
      </c>
      <c r="T13" s="264" t="s">
        <v>270</v>
      </c>
      <c r="U13" s="271" t="s">
        <v>270</v>
      </c>
      <c r="V13" s="89">
        <v>1000</v>
      </c>
      <c r="W13" s="886"/>
    </row>
    <row r="14" spans="2:23" ht="15.75" thickBot="1" x14ac:dyDescent="0.25"/>
    <row r="15" spans="2:23" x14ac:dyDescent="0.2">
      <c r="B15" s="241"/>
      <c r="C15" s="242"/>
      <c r="D15" s="242"/>
      <c r="E15" s="242"/>
      <c r="F15" s="242"/>
      <c r="G15" s="242"/>
      <c r="H15" s="242"/>
      <c r="I15" s="242"/>
      <c r="J15" s="243"/>
    </row>
    <row r="16" spans="2:23" ht="23.25" x14ac:dyDescent="0.35">
      <c r="B16" s="45"/>
      <c r="C16" s="247" t="str">
        <f>IF(C8="","",IF(SUMPRODUCT(B8:B12,J8:J12)&lt;&gt;0,"Ocjena kriterija nije završena!", "Sva vodna tijela su ocijenjena!"))</f>
        <v/>
      </c>
      <c r="D16" s="247"/>
      <c r="E16" s="247"/>
      <c r="F16" s="247"/>
      <c r="G16" s="247"/>
      <c r="H16" s="247"/>
      <c r="I16" s="354">
        <f>IF(C8="",0,IF(SUMPRODUCT(B8:B12,J8:J12)&lt;&gt;0,0,1))</f>
        <v>0</v>
      </c>
      <c r="J16" s="49"/>
    </row>
    <row r="17" spans="2:10" ht="15.75" thickBot="1" x14ac:dyDescent="0.25">
      <c r="B17" s="204"/>
      <c r="C17" s="51"/>
      <c r="D17" s="51"/>
      <c r="E17" s="51"/>
      <c r="F17" s="51"/>
      <c r="G17" s="51"/>
      <c r="H17" s="51"/>
      <c r="I17" s="51"/>
      <c r="J17" s="205"/>
    </row>
  </sheetData>
  <sheetProtection algorithmName="SHA-512" hashValue="c7q4n7NtHwTGEZwqWf1FApxStZRt5FlUVPeeC4kdGOvcJc1CqTRoX2L45rMAP7CmuYKj3F2UQ2MqlJG2eWkTcw==" saltValue="I0gbXPiDMI9utcvJYI99jQ==" spinCount="100000" sheet="1" objects="1" scenarios="1"/>
  <mergeCells count="9">
    <mergeCell ref="S6:U6"/>
    <mergeCell ref="W9:W13"/>
    <mergeCell ref="V6:W8"/>
    <mergeCell ref="D7:E7"/>
    <mergeCell ref="D8:E8"/>
    <mergeCell ref="D9:E9"/>
    <mergeCell ref="D10:E10"/>
    <mergeCell ref="D11:E11"/>
    <mergeCell ref="D12:E12"/>
  </mergeCells>
  <phoneticPr fontId="14" type="noConversion"/>
  <conditionalFormatting sqref="C8:C12">
    <cfRule type="expression" dxfId="142" priority="21">
      <formula>$C8="n.a."</formula>
    </cfRule>
  </conditionalFormatting>
  <conditionalFormatting sqref="F8:F12">
    <cfRule type="expression" dxfId="141" priority="19">
      <formula>B8&lt;&gt;1</formula>
    </cfRule>
  </conditionalFormatting>
  <conditionalFormatting sqref="H8:H12">
    <cfRule type="expression" dxfId="140" priority="18">
      <formula>B8&lt;&gt;1</formula>
    </cfRule>
  </conditionalFormatting>
  <conditionalFormatting sqref="I8">
    <cfRule type="expression" dxfId="139" priority="17">
      <formula>G8&lt;&gt;""</formula>
    </cfRule>
  </conditionalFormatting>
  <conditionalFormatting sqref="G8">
    <cfRule type="expression" dxfId="138" priority="10">
      <formula>B8&lt;&gt;1</formula>
    </cfRule>
  </conditionalFormatting>
  <conditionalFormatting sqref="G9">
    <cfRule type="expression" dxfId="137" priority="5">
      <formula>B9&lt;&gt;1</formula>
    </cfRule>
  </conditionalFormatting>
  <conditionalFormatting sqref="C16">
    <cfRule type="expression" dxfId="136" priority="62">
      <formula>SUMPRODUCT($B$8:$B$12,$J$8:$J$12)=0</formula>
    </cfRule>
  </conditionalFormatting>
  <conditionalFormatting sqref="G10">
    <cfRule type="expression" dxfId="135" priority="4">
      <formula>B10&lt;&gt;1</formula>
    </cfRule>
  </conditionalFormatting>
  <conditionalFormatting sqref="G11">
    <cfRule type="expression" dxfId="134" priority="3">
      <formula>B11&lt;&gt;1</formula>
    </cfRule>
  </conditionalFormatting>
  <conditionalFormatting sqref="G12">
    <cfRule type="expression" dxfId="133" priority="2">
      <formula>B12&lt;&gt;1</formula>
    </cfRule>
  </conditionalFormatting>
  <conditionalFormatting sqref="I9:I12">
    <cfRule type="expression" dxfId="132" priority="1">
      <formula>G9&lt;&gt;""</formula>
    </cfRule>
  </conditionalFormatting>
  <dataValidations count="1">
    <dataValidation allowBlank="1" showInputMessage="1" showErrorMessage="1" prompt="Unesite veličinu akumulacije u m" sqref="G8:G12" xr:uid="{FBA586CB-C804-5143-88DF-7651577FCC8A}"/>
  </dataValidations>
  <pageMargins left="0.7" right="0.7" top="0.78740157499999996" bottom="0.78740157499999996" header="0.3" footer="0.3"/>
  <legacyDrawing r:id="rId1"/>
</worksheet>
</file>

<file path=xl/worksheets/sheet3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Tabelle34"/>
  <dimension ref="B1:BB27"/>
  <sheetViews>
    <sheetView showGridLines="0" workbookViewId="0">
      <selection activeCell="L23" sqref="L23"/>
    </sheetView>
  </sheetViews>
  <sheetFormatPr defaultColWidth="10.875" defaultRowHeight="15" x14ac:dyDescent="0.2"/>
  <cols>
    <col min="1" max="1" width="2.875" style="80" customWidth="1"/>
    <col min="2" max="2" width="4.125" style="80" customWidth="1"/>
    <col min="3" max="3" width="6.5" style="80" customWidth="1"/>
    <col min="4" max="4" width="10.875" style="80"/>
    <col min="5" max="5" width="12.375" style="80" customWidth="1"/>
    <col min="6" max="6" width="10.875" style="80"/>
    <col min="7" max="7" width="12" style="80" customWidth="1"/>
    <col min="8" max="8" width="4.125" style="80" customWidth="1"/>
    <col min="9" max="9" width="10.875" style="80"/>
    <col min="10" max="18" width="9.375" style="80" customWidth="1"/>
    <col min="19" max="33" width="10.875" style="80"/>
    <col min="34" max="43" width="5" style="80" customWidth="1"/>
    <col min="44" max="44" width="7.875" style="80" customWidth="1"/>
    <col min="45" max="16384" width="10.875" style="80"/>
  </cols>
  <sheetData>
    <row r="1" spans="2:54" s="1" customFormat="1" ht="17.100000000000001" customHeight="1" thickBot="1" x14ac:dyDescent="0.25">
      <c r="C1" s="24"/>
      <c r="D1" s="24"/>
      <c r="E1" s="24"/>
      <c r="G1" s="25"/>
    </row>
    <row r="2" spans="2:54" s="1" customFormat="1" ht="14.1" customHeight="1" x14ac:dyDescent="0.2">
      <c r="B2" s="182"/>
      <c r="C2" s="183"/>
      <c r="D2" s="183"/>
      <c r="E2" s="183"/>
      <c r="F2" s="184"/>
      <c r="G2" s="184"/>
      <c r="H2" s="185"/>
      <c r="I2" s="25"/>
      <c r="J2" s="25"/>
      <c r="K2" s="25"/>
      <c r="Q2" s="25"/>
      <c r="R2" s="25"/>
    </row>
    <row r="3" spans="2:54" s="1" customFormat="1" ht="17.100000000000001" customHeight="1" x14ac:dyDescent="0.2">
      <c r="B3" s="47"/>
      <c r="C3" s="186" t="s">
        <v>334</v>
      </c>
      <c r="D3" s="186"/>
      <c r="E3" s="186"/>
      <c r="F3" s="186"/>
      <c r="G3" s="186"/>
      <c r="H3" s="187"/>
      <c r="I3" s="25"/>
    </row>
    <row r="4" spans="2:54" s="1" customFormat="1" ht="17.100000000000001" customHeight="1" thickBot="1" x14ac:dyDescent="0.25">
      <c r="B4" s="188"/>
      <c r="C4" s="189"/>
      <c r="D4" s="189"/>
      <c r="E4" s="189"/>
      <c r="F4" s="189"/>
      <c r="G4" s="189"/>
      <c r="H4" s="190"/>
      <c r="I4" s="25"/>
    </row>
    <row r="5" spans="2:54" s="1" customFormat="1" ht="14.1" customHeight="1" thickBot="1" x14ac:dyDescent="0.25"/>
    <row r="6" spans="2:54" s="1" customFormat="1" ht="14.1" customHeight="1" thickBot="1" x14ac:dyDescent="0.25">
      <c r="C6" s="24"/>
      <c r="D6" s="24"/>
      <c r="F6" s="25"/>
      <c r="AC6" s="899" t="s">
        <v>348</v>
      </c>
      <c r="AD6" s="900"/>
      <c r="AE6" s="900"/>
      <c r="AF6" s="900"/>
      <c r="AG6" s="901"/>
      <c r="AH6" s="899" t="s">
        <v>350</v>
      </c>
      <c r="AI6" s="900"/>
      <c r="AJ6" s="900"/>
      <c r="AK6" s="900"/>
      <c r="AL6" s="900"/>
      <c r="AM6" s="900"/>
      <c r="AN6" s="900"/>
      <c r="AO6" s="900"/>
      <c r="AP6" s="900"/>
      <c r="AQ6" s="900"/>
      <c r="AR6" s="901"/>
      <c r="AT6" s="910" t="s">
        <v>351</v>
      </c>
      <c r="AU6" s="911"/>
      <c r="AV6" s="911"/>
      <c r="AW6" s="911"/>
      <c r="AX6" s="911"/>
      <c r="AY6" s="911"/>
      <c r="AZ6" s="911"/>
      <c r="BA6" s="911"/>
      <c r="BB6" s="912"/>
    </row>
    <row r="7" spans="2:54" s="1" customFormat="1" ht="16.5" thickBot="1" x14ac:dyDescent="0.3">
      <c r="B7" s="182"/>
      <c r="C7" s="184"/>
      <c r="D7" s="184"/>
      <c r="E7" s="184"/>
      <c r="F7" s="11"/>
      <c r="G7" s="11"/>
      <c r="H7" s="20"/>
      <c r="J7" s="907" t="s">
        <v>342</v>
      </c>
      <c r="K7" s="908"/>
      <c r="L7" s="908"/>
      <c r="M7" s="908"/>
      <c r="N7" s="908"/>
      <c r="O7" s="908"/>
      <c r="P7" s="908"/>
      <c r="Q7" s="908"/>
      <c r="R7" s="909"/>
      <c r="S7" s="907" t="s">
        <v>343</v>
      </c>
      <c r="T7" s="908"/>
      <c r="U7" s="908"/>
      <c r="V7" s="908"/>
      <c r="W7" s="908"/>
      <c r="X7" s="908"/>
      <c r="Y7" s="908"/>
      <c r="Z7" s="908"/>
      <c r="AA7" s="909"/>
      <c r="AC7" s="902"/>
      <c r="AD7" s="903"/>
      <c r="AE7" s="903"/>
      <c r="AF7" s="903"/>
      <c r="AG7" s="904"/>
      <c r="AH7" s="902"/>
      <c r="AI7" s="903"/>
      <c r="AJ7" s="903"/>
      <c r="AK7" s="903"/>
      <c r="AL7" s="903"/>
      <c r="AM7" s="903"/>
      <c r="AN7" s="903"/>
      <c r="AO7" s="903"/>
      <c r="AP7" s="903"/>
      <c r="AQ7" s="903"/>
      <c r="AR7" s="904"/>
      <c r="AT7" s="913"/>
      <c r="AU7" s="914"/>
      <c r="AV7" s="914"/>
      <c r="AW7" s="914"/>
      <c r="AX7" s="914"/>
      <c r="AY7" s="914"/>
      <c r="AZ7" s="914"/>
      <c r="BA7" s="914"/>
      <c r="BB7" s="915"/>
    </row>
    <row r="8" spans="2:54" s="179" customFormat="1" ht="183" customHeight="1" thickBot="1" x14ac:dyDescent="0.25">
      <c r="B8" s="194"/>
      <c r="C8" s="342" t="s">
        <v>273</v>
      </c>
      <c r="D8" s="905" t="s">
        <v>74</v>
      </c>
      <c r="E8" s="906"/>
      <c r="F8" s="342" t="s">
        <v>474</v>
      </c>
      <c r="G8" s="342" t="s">
        <v>335</v>
      </c>
      <c r="H8" s="21"/>
      <c r="J8" s="301" t="s">
        <v>336</v>
      </c>
      <c r="K8" s="302" t="s">
        <v>337</v>
      </c>
      <c r="L8" s="302" t="s">
        <v>338</v>
      </c>
      <c r="M8" s="302" t="s">
        <v>501</v>
      </c>
      <c r="N8" s="302" t="s">
        <v>502</v>
      </c>
      <c r="O8" s="302" t="s">
        <v>339</v>
      </c>
      <c r="P8" s="302" t="s">
        <v>340</v>
      </c>
      <c r="Q8" s="302" t="s">
        <v>341</v>
      </c>
      <c r="R8" s="303" t="s">
        <v>333</v>
      </c>
      <c r="S8" s="301" t="s">
        <v>336</v>
      </c>
      <c r="T8" s="302" t="s">
        <v>337</v>
      </c>
      <c r="U8" s="302" t="s">
        <v>338</v>
      </c>
      <c r="V8" s="302" t="s">
        <v>501</v>
      </c>
      <c r="W8" s="302" t="s">
        <v>502</v>
      </c>
      <c r="X8" s="302" t="s">
        <v>339</v>
      </c>
      <c r="Y8" s="302" t="s">
        <v>340</v>
      </c>
      <c r="Z8" s="302" t="s">
        <v>341</v>
      </c>
      <c r="AA8" s="303" t="s">
        <v>333</v>
      </c>
      <c r="AC8" s="301" t="s">
        <v>344</v>
      </c>
      <c r="AD8" s="302" t="s">
        <v>345</v>
      </c>
      <c r="AE8" s="302" t="s">
        <v>349</v>
      </c>
      <c r="AF8" s="302" t="s">
        <v>346</v>
      </c>
      <c r="AG8" s="303" t="s">
        <v>347</v>
      </c>
      <c r="AH8" s="288">
        <v>0</v>
      </c>
      <c r="AI8" s="289">
        <v>0.5</v>
      </c>
      <c r="AJ8" s="289">
        <v>1</v>
      </c>
      <c r="AK8" s="289">
        <v>1.5</v>
      </c>
      <c r="AL8" s="289">
        <v>2</v>
      </c>
      <c r="AM8" s="289">
        <v>2.5</v>
      </c>
      <c r="AN8" s="289">
        <v>3</v>
      </c>
      <c r="AO8" s="289">
        <v>3.5</v>
      </c>
      <c r="AP8" s="289">
        <v>4</v>
      </c>
      <c r="AQ8" s="294">
        <v>5</v>
      </c>
      <c r="AR8" s="298" t="s">
        <v>149</v>
      </c>
      <c r="AS8" s="1"/>
      <c r="AT8" s="277" t="s">
        <v>336</v>
      </c>
      <c r="AU8" s="278" t="s">
        <v>337</v>
      </c>
      <c r="AV8" s="278" t="s">
        <v>338</v>
      </c>
      <c r="AW8" s="278" t="s">
        <v>287</v>
      </c>
      <c r="AX8" s="278" t="s">
        <v>288</v>
      </c>
      <c r="AY8" s="278" t="s">
        <v>339</v>
      </c>
      <c r="AZ8" s="278" t="s">
        <v>340</v>
      </c>
      <c r="BA8" s="278" t="s">
        <v>341</v>
      </c>
      <c r="BB8" s="279" t="s">
        <v>333</v>
      </c>
    </row>
    <row r="9" spans="2:54" ht="41.1" customHeight="1" thickBot="1" x14ac:dyDescent="0.25">
      <c r="B9" s="672" t="str">
        <f>'Unos podataka'!F14</f>
        <v/>
      </c>
      <c r="C9" s="200" t="str">
        <f>'Unos podataka'!G14</f>
        <v/>
      </c>
      <c r="D9" s="896" t="str">
        <f>IF(B9&lt;&gt;"",'Unos podataka'!H14,"")</f>
        <v/>
      </c>
      <c r="E9" s="897"/>
      <c r="F9" s="275" t="str">
        <f>IF(B9=1,'Unos podataka'!I14,"")</f>
        <v/>
      </c>
      <c r="G9" s="698" t="str">
        <f>IF(AND(C9&lt;&gt;"",AA19=1),AR9,"")</f>
        <v/>
      </c>
      <c r="H9" s="246" t="str">
        <f>IF(C9&lt;&gt;"",1,"")</f>
        <v/>
      </c>
      <c r="J9" s="280" t="str">
        <f>IF(C9&lt;&gt;"",'EV1 - Hidromorfologija'!G23,"")</f>
        <v/>
      </c>
      <c r="K9" s="281" t="str">
        <f>IF(C9&lt;&gt;"",'EV2 - Ekološki status'!G8,"")</f>
        <v/>
      </c>
      <c r="L9" s="281" t="str">
        <f>IF(C9&lt;&gt;"",'EV3 - Površina sliva'!G8,"")</f>
        <v/>
      </c>
      <c r="M9" s="281" t="str">
        <f>IF(C9&lt;&gt;"",'EV4 - Posebni tipovi vodotoka'!G8,"")</f>
        <v/>
      </c>
      <c r="N9" s="281" t="str">
        <f>IF(C9&lt;&gt;"",'EV4 - Posebni tipovi vodotoka'!J8,"")</f>
        <v/>
      </c>
      <c r="O9" s="281" t="str">
        <f>IF(C9&lt;&gt;"",'EV5 -Postojanje mrjestilišta'!G8,"")</f>
        <v/>
      </c>
      <c r="P9" s="281" t="str">
        <f>IF('EV6- Putevi slobodnog toka'!F8="","",IF(C9&lt;&gt;"",'EV6- Putevi slobodnog toka'!F8,""))</f>
        <v/>
      </c>
      <c r="Q9" s="281" t="str">
        <f>IF(C9&lt;&gt;"",'EV7 - Toplotno zagađenje'!G8,"")</f>
        <v/>
      </c>
      <c r="R9" s="683" t="str">
        <f>IF(C9&lt;&gt;"",'EV8 - Akumulacija'!H8,"")</f>
        <v/>
      </c>
      <c r="S9" s="280" t="str">
        <f>IF(C9&lt;&gt;"",'EV1 - Hidromorfologija'!H23,"")</f>
        <v/>
      </c>
      <c r="T9" s="281" t="str">
        <f>IF(C9&lt;&gt;"",'EV2 - Ekološki status'!H8,"")</f>
        <v/>
      </c>
      <c r="U9" s="281" t="str">
        <f>IF(C9&lt;&gt;"",'EV3 - Površina sliva'!H8,"")</f>
        <v/>
      </c>
      <c r="V9" s="281" t="str">
        <f>IF(C9&lt;&gt;"",'EV4 - Posebni tipovi vodotoka'!H8,"")</f>
        <v/>
      </c>
      <c r="W9" s="281" t="str">
        <f>IF(C9&lt;&gt;"",'EV4 - Posebni tipovi vodotoka'!K8,"")</f>
        <v/>
      </c>
      <c r="X9" s="281" t="str">
        <f>IF(C9&lt;&gt;"",'EV5 -Postojanje mrjestilišta'!H8,"")</f>
        <v/>
      </c>
      <c r="Y9" s="281" t="str">
        <f>IF(C9&lt;&gt;"",'EV6- Putevi slobodnog toka'!G8,"")</f>
        <v/>
      </c>
      <c r="Z9" s="281" t="str">
        <f>IF(C9&lt;&gt;"",'EV7 - Toplotno zagađenje'!H8,"")</f>
        <v/>
      </c>
      <c r="AA9" s="282" t="str">
        <f>IF(C9&lt;&gt;"",'EV8 - Akumulacija'!I8,"")</f>
        <v/>
      </c>
      <c r="AC9" s="306" t="str">
        <f>IF(C9="","",SUMPRODUCT((J9:R9=$AV$17)*(S9:AA9="***")))</f>
        <v/>
      </c>
      <c r="AD9" s="307" t="str">
        <f>IF(C9="","",COUNTIF(J9:R9,$AV$17))</f>
        <v/>
      </c>
      <c r="AE9" s="307" t="str">
        <f>IF(C9="","",COUNTIF(J9:R9,$AV$18))</f>
        <v/>
      </c>
      <c r="AF9" s="308" t="str">
        <f>IF(C9="","",IF(AD9&gt;0,SUMIF(J9:R9,"Veoma osjetljivo",AT9:BB9)/AD9,0))</f>
        <v/>
      </c>
      <c r="AG9" s="309" t="str">
        <f>IF(C9="","",IF(AF9&lt;1.5,$AX$17,IF(AF9&gt;2.4,$AX$19,$AX$18)))</f>
        <v/>
      </c>
      <c r="AH9" s="299" t="str">
        <f>IF(C9="","",IF(OR(K9=$AV$17,AND(AD9&gt;=3,AC9&gt;=2)),0,""))</f>
        <v/>
      </c>
      <c r="AI9" s="293" t="str">
        <f>IF(C9="","",IF(AND(AD9&gt;=3,AG9=$AX$18),0.5,""))</f>
        <v/>
      </c>
      <c r="AJ9" s="293" t="str">
        <f>IF(C9="","",IF(AND(AD9&gt;=3,AG9=$AX$17),1,""))</f>
        <v/>
      </c>
      <c r="AK9" s="293" t="str">
        <f>IF(C9="","",IF(AND(AD9&gt;=2,AG9=$AX$19),1.5,""))</f>
        <v/>
      </c>
      <c r="AL9" s="293" t="str">
        <f>IF(C9="","",IF(AND(AD9&gt;=2,AG9=$AX$18),2,""))</f>
        <v/>
      </c>
      <c r="AM9" s="293" t="str">
        <f>IF(C9="","",IF(AND(AD9&gt;=2,AG9=$AX$17),2.5,""))</f>
        <v/>
      </c>
      <c r="AN9" s="293" t="str">
        <f>IF(C9="","",IF(AND(AD9&gt;=1,AG9=$AX$19),3,""))</f>
        <v/>
      </c>
      <c r="AO9" s="293" t="str">
        <f>IF(C9="","",IF(AND(AD9&gt;=1,OR(AG9=$AX$18,AG9=$AX$17)),3.5,""))</f>
        <v/>
      </c>
      <c r="AP9" s="293" t="str">
        <f>IF(C9="","",IF(AE9&lt;&gt;0,4,""))</f>
        <v/>
      </c>
      <c r="AQ9" s="295" t="str">
        <f>IF(C9&lt;&gt;"",IF(AE9=0,5,""),"")</f>
        <v/>
      </c>
      <c r="AR9" s="687" t="str">
        <f>IF(C9="","",MIN(AH9:AQ9))</f>
        <v/>
      </c>
      <c r="AS9" s="1"/>
      <c r="AT9" s="280" t="str">
        <f t="shared" ref="AT9:BB13" si="0">IF(S9&lt;&gt;"",IF(S9="*",1,IF(S9="**",2,3)),"")</f>
        <v/>
      </c>
      <c r="AU9" s="281" t="str">
        <f t="shared" si="0"/>
        <v/>
      </c>
      <c r="AV9" s="281" t="str">
        <f t="shared" si="0"/>
        <v/>
      </c>
      <c r="AW9" s="281" t="str">
        <f t="shared" si="0"/>
        <v/>
      </c>
      <c r="AX9" s="281" t="str">
        <f t="shared" si="0"/>
        <v/>
      </c>
      <c r="AY9" s="281" t="str">
        <f t="shared" si="0"/>
        <v/>
      </c>
      <c r="AZ9" s="281" t="str">
        <f>IF(Y9&lt;&gt;"",IF(Y9="*",1,IF(Y9="**",2,3)),"")</f>
        <v/>
      </c>
      <c r="BA9" s="281" t="str">
        <f t="shared" si="0"/>
        <v/>
      </c>
      <c r="BB9" s="282" t="str">
        <f t="shared" si="0"/>
        <v/>
      </c>
    </row>
    <row r="10" spans="2:54" ht="39.950000000000003" customHeight="1" thickBot="1" x14ac:dyDescent="0.25">
      <c r="B10" s="672" t="str">
        <f>'Unos podataka'!F15</f>
        <v/>
      </c>
      <c r="C10" s="200" t="str">
        <f>'Unos podataka'!G15</f>
        <v/>
      </c>
      <c r="D10" s="896" t="str">
        <f>IF(B10&lt;&gt;"",'Unos podataka'!H15,"")</f>
        <v/>
      </c>
      <c r="E10" s="897"/>
      <c r="F10" s="275" t="str">
        <f>IF(B10=1,'Unos podataka'!I15,"")</f>
        <v/>
      </c>
      <c r="G10" s="698" t="str">
        <f>IF(AND(C10&lt;&gt;"",AA20=1),AR10,"")</f>
        <v/>
      </c>
      <c r="H10" s="246" t="str">
        <f>IF(C10&lt;&gt;"",1,"")</f>
        <v/>
      </c>
      <c r="J10" s="283" t="str">
        <f>IF(C10&lt;&gt;"",'EV1 - Hidromorfologija'!G24,"")</f>
        <v/>
      </c>
      <c r="K10" s="276" t="str">
        <f>IF(C10&lt;&gt;"",'EV2 - Ekološki status'!G9,"")</f>
        <v/>
      </c>
      <c r="L10" s="276" t="str">
        <f>IF(C10&lt;&gt;"",'EV3 - Površina sliva'!G9,"")</f>
        <v/>
      </c>
      <c r="M10" s="276" t="str">
        <f>IF(C10&lt;&gt;"",'EV4 - Posebni tipovi vodotoka'!G9,"")</f>
        <v/>
      </c>
      <c r="N10" s="276" t="str">
        <f>IF(C10&lt;&gt;"",'EV4 - Posebni tipovi vodotoka'!J9,"")</f>
        <v/>
      </c>
      <c r="O10" s="276" t="str">
        <f>IF(C10&lt;&gt;"",'EV5 -Postojanje mrjestilišta'!G9,"")</f>
        <v/>
      </c>
      <c r="P10" s="276" t="str">
        <f>IF('EV6- Putevi slobodnog toka'!F9="","",IF(C10&lt;&gt;"",'EV6- Putevi slobodnog toka'!F9,""))</f>
        <v/>
      </c>
      <c r="Q10" s="276" t="str">
        <f>IF(C10&lt;&gt;"",'EV7 - Toplotno zagađenje'!G9,"")</f>
        <v/>
      </c>
      <c r="R10" s="684" t="str">
        <f>IF(C10&lt;&gt;"",'EV8 - Akumulacija'!H9,"")</f>
        <v/>
      </c>
      <c r="S10" s="283" t="str">
        <f>IF(C10&lt;&gt;"",'EV1 - Hidromorfologija'!H24,"")</f>
        <v/>
      </c>
      <c r="T10" s="276" t="str">
        <f>IF(C10&lt;&gt;"",'EV2 - Ekološki status'!H9,"")</f>
        <v/>
      </c>
      <c r="U10" s="276" t="str">
        <f>IF(C10&lt;&gt;"",'EV3 - Površina sliva'!H9,"")</f>
        <v/>
      </c>
      <c r="V10" s="276" t="str">
        <f>IF(C10&lt;&gt;"",'EV4 - Posebni tipovi vodotoka'!H9,"")</f>
        <v/>
      </c>
      <c r="W10" s="276" t="str">
        <f>IF(C10&lt;&gt;"",'EV4 - Posebni tipovi vodotoka'!K9,"")</f>
        <v/>
      </c>
      <c r="X10" s="276" t="str">
        <f>IF(C10&lt;&gt;"",'EV5 -Postojanje mrjestilišta'!H9,"")</f>
        <v/>
      </c>
      <c r="Y10" s="276" t="str">
        <f>IF(C10&lt;&gt;"",'EV6- Putevi slobodnog toka'!G9,"")</f>
        <v/>
      </c>
      <c r="Z10" s="276" t="str">
        <f>IF(C10&lt;&gt;"",'EV7 - Toplotno zagađenje'!H9,"")</f>
        <v/>
      </c>
      <c r="AA10" s="284" t="str">
        <f>IF(C10&lt;&gt;"",'EV8 - Akumulacija'!I9,"")</f>
        <v/>
      </c>
      <c r="AC10" s="310" t="str">
        <f>IF(C10="","",SUMPRODUCT((J10:R10=$AV$17)*(S10:AA10="***")))</f>
        <v/>
      </c>
      <c r="AD10" s="304" t="str">
        <f>IF(C10="","",COUNTIF(J10:R10,$AV$17))</f>
        <v/>
      </c>
      <c r="AE10" s="304" t="str">
        <f>IF(C10="","",COUNTIF(J10:R10,$AV$18))</f>
        <v/>
      </c>
      <c r="AF10" s="305" t="str">
        <f>IF(C10="","",IF(AD10&gt;0,SUMIF(J10:R10,"Veoma osjetljivo",AT10:BB10)/AD10,0))</f>
        <v/>
      </c>
      <c r="AG10" s="311" t="str">
        <f>IF(C10="","",IF(AF10&lt;1.5,$AX$17,IF(AF10&gt;2.4,$AX$19,$AX$18)))</f>
        <v/>
      </c>
      <c r="AH10" s="291" t="str">
        <f>IF(C10="","",IF(OR(K10=$AV$17,AND(AD10&gt;=3,AC10&gt;=2)),0,""))</f>
        <v/>
      </c>
      <c r="AI10" s="290" t="str">
        <f>IF(C10="","",IF(AND(AD10&gt;=3,AG10=$AX$18),0.5,""))</f>
        <v/>
      </c>
      <c r="AJ10" s="290" t="str">
        <f>IF(C10="","",IF(AND(AD10&gt;=3,AG10=$AX$17),1,""))</f>
        <v/>
      </c>
      <c r="AK10" s="290" t="str">
        <f>IF(C10="","",IF(AND(AD10&gt;=2,AG10=$AX$19),1.5,""))</f>
        <v/>
      </c>
      <c r="AL10" s="290" t="str">
        <f>IF(C10="","",IF(AND(AD10&gt;=2,AG10=$AX$18),2,""))</f>
        <v/>
      </c>
      <c r="AM10" s="290" t="str">
        <f>IF(C10="","",IF(AND(AD10&gt;=2,AG10=$AX$17),2.5,""))</f>
        <v/>
      </c>
      <c r="AN10" s="290" t="str">
        <f>IF(C10="","",IF(AND(AD10&gt;=1,AG10=$AX$19),3,""))</f>
        <v/>
      </c>
      <c r="AO10" s="290" t="str">
        <f>IF(C10="","",IF(AND(AD10&gt;=1,OR(AG10=$AX$18,AG10=$AX$17)),3.5,""))</f>
        <v/>
      </c>
      <c r="AP10" s="290" t="str">
        <f>IF(C10="","",IF(AE10&lt;&gt;0,4,""))</f>
        <v/>
      </c>
      <c r="AQ10" s="296" t="str">
        <f>IF(C10&lt;&gt;"",IF(AE10=0,5,""),"")</f>
        <v/>
      </c>
      <c r="AR10" s="687" t="str">
        <f>IF(C10="","",MIN(AH10:AQ10))</f>
        <v/>
      </c>
      <c r="AS10" s="1"/>
      <c r="AT10" s="283" t="str">
        <f t="shared" si="0"/>
        <v/>
      </c>
      <c r="AU10" s="276" t="str">
        <f t="shared" si="0"/>
        <v/>
      </c>
      <c r="AV10" s="276" t="str">
        <f t="shared" si="0"/>
        <v/>
      </c>
      <c r="AW10" s="276" t="str">
        <f t="shared" si="0"/>
        <v/>
      </c>
      <c r="AX10" s="276" t="str">
        <f t="shared" si="0"/>
        <v/>
      </c>
      <c r="AY10" s="276" t="str">
        <f t="shared" si="0"/>
        <v/>
      </c>
      <c r="AZ10" s="276" t="str">
        <f t="shared" si="0"/>
        <v/>
      </c>
      <c r="BA10" s="276" t="str">
        <f t="shared" si="0"/>
        <v/>
      </c>
      <c r="BB10" s="284" t="str">
        <f t="shared" si="0"/>
        <v/>
      </c>
    </row>
    <row r="11" spans="2:54" ht="38.1" customHeight="1" thickBot="1" x14ac:dyDescent="0.25">
      <c r="B11" s="678" t="str">
        <f>'Unos podataka'!F16</f>
        <v/>
      </c>
      <c r="C11" s="200" t="str">
        <f>'Unos podataka'!G16</f>
        <v/>
      </c>
      <c r="D11" s="896" t="str">
        <f>IF(B11&lt;&gt;"",'Unos podataka'!H16,"")</f>
        <v/>
      </c>
      <c r="E11" s="897"/>
      <c r="F11" s="275" t="str">
        <f>IF(B11=1,'Unos podataka'!I16,"")</f>
        <v/>
      </c>
      <c r="G11" s="698" t="str">
        <f>IF(AND(C11&lt;&gt;"",AA21=1),AR11,"")</f>
        <v/>
      </c>
      <c r="H11" s="246" t="str">
        <f>IF(C11&lt;&gt;"",1,"")</f>
        <v/>
      </c>
      <c r="J11" s="283" t="str">
        <f>IF(C11&lt;&gt;"",'EV1 - Hidromorfologija'!G25,"")</f>
        <v/>
      </c>
      <c r="K11" s="276" t="str">
        <f>IF(C11&lt;&gt;"",'EV2 - Ekološki status'!G10,"")</f>
        <v/>
      </c>
      <c r="L11" s="276" t="str">
        <f>IF(C11&lt;&gt;"",'EV3 - Površina sliva'!G10,"")</f>
        <v/>
      </c>
      <c r="M11" s="276" t="str">
        <f>IF(C11&lt;&gt;"",'EV4 - Posebni tipovi vodotoka'!G10,"")</f>
        <v/>
      </c>
      <c r="N11" s="276" t="str">
        <f>IF(C11&lt;&gt;"",'EV4 - Posebni tipovi vodotoka'!J10,"")</f>
        <v/>
      </c>
      <c r="O11" s="276" t="str">
        <f>IF(C11&lt;&gt;"",'EV5 -Postojanje mrjestilišta'!G10,"")</f>
        <v/>
      </c>
      <c r="P11" s="276" t="str">
        <f>IF('EV6- Putevi slobodnog toka'!F10="","",IF(C11&lt;&gt;"",'EV6- Putevi slobodnog toka'!F10,""))</f>
        <v/>
      </c>
      <c r="Q11" s="276" t="str">
        <f>IF(C11&lt;&gt;"",'EV7 - Toplotno zagađenje'!G10,"")</f>
        <v/>
      </c>
      <c r="R11" s="684" t="str">
        <f>IF(C11&lt;&gt;"",'EV8 - Akumulacija'!H10,"")</f>
        <v/>
      </c>
      <c r="S11" s="283" t="str">
        <f>IF(C11&lt;&gt;"",'EV1 - Hidromorfologija'!H25,"")</f>
        <v/>
      </c>
      <c r="T11" s="276" t="str">
        <f>IF(C11&lt;&gt;"",'EV2 - Ekološki status'!H10,"")</f>
        <v/>
      </c>
      <c r="U11" s="276" t="str">
        <f>IF(C11&lt;&gt;"",'EV3 - Površina sliva'!H10,"")</f>
        <v/>
      </c>
      <c r="V11" s="276" t="str">
        <f>IF(C11&lt;&gt;"",'EV4 - Posebni tipovi vodotoka'!H10,"")</f>
        <v/>
      </c>
      <c r="W11" s="276" t="str">
        <f>IF(C11&lt;&gt;"",'EV4 - Posebni tipovi vodotoka'!K10,"")</f>
        <v/>
      </c>
      <c r="X11" s="276" t="str">
        <f>IF(C11&lt;&gt;"",'EV5 -Postojanje mrjestilišta'!H10,"")</f>
        <v/>
      </c>
      <c r="Y11" s="276" t="str">
        <f>IF(C11&lt;&gt;"",'EV6- Putevi slobodnog toka'!G10,"")</f>
        <v/>
      </c>
      <c r="Z11" s="276" t="str">
        <f>IF(C11&lt;&gt;"",'EV7 - Toplotno zagađenje'!H10,"")</f>
        <v/>
      </c>
      <c r="AA11" s="284" t="str">
        <f>IF(C11&lt;&gt;"",'EV8 - Akumulacija'!I10,"")</f>
        <v/>
      </c>
      <c r="AC11" s="310" t="str">
        <f>IF(C11="","",SUMPRODUCT((J11:R11=$AV$17)*(S11:AA11="***")))</f>
        <v/>
      </c>
      <c r="AD11" s="304" t="str">
        <f>IF(C11="","",COUNTIF(J11:R11,$AV$17))</f>
        <v/>
      </c>
      <c r="AE11" s="304" t="str">
        <f>IF(C11="","",COUNTIF(J11:R11,$AV$18))</f>
        <v/>
      </c>
      <c r="AF11" s="305" t="str">
        <f t="shared" ref="AF11:AF13" si="1">IF(C11="","",IF(AD11&gt;0,SUMIF(J11:R11,"Veoma osjetljivo",AT11:BB11)/AD11,0))</f>
        <v/>
      </c>
      <c r="AG11" s="311" t="str">
        <f>IF(C11="","",IF(AF11&lt;1.5,$AX$17,IF(AF11&gt;2.4,$AX$19,$AX$18)))</f>
        <v/>
      </c>
      <c r="AH11" s="291" t="str">
        <f>IF(C11="","",IF(OR(K11=$AV$17,AND(AD11&gt;=3,AC11&gt;=2)),0,""))</f>
        <v/>
      </c>
      <c r="AI11" s="290" t="str">
        <f>IF(C11="","",IF(AND(AD11&gt;=3,AG11=$AX$18),0.5,""))</f>
        <v/>
      </c>
      <c r="AJ11" s="290" t="str">
        <f>IF(C11="","",IF(AND(AD11&gt;=3,AG11=$AX$17),1,""))</f>
        <v/>
      </c>
      <c r="AK11" s="290" t="str">
        <f>IF(C11="","",IF(AND(AD11&gt;=2,AG11=$AX$19),1.5,""))</f>
        <v/>
      </c>
      <c r="AL11" s="290" t="str">
        <f>IF(C11="","",IF(AND(AD11&gt;=2,AG11=$AX$18),2,""))</f>
        <v/>
      </c>
      <c r="AM11" s="290" t="str">
        <f>IF(C11="","",IF(AND(AD11&gt;=2,AG11=$AX$17),2.5,""))</f>
        <v/>
      </c>
      <c r="AN11" s="290" t="str">
        <f>IF(C11="","",IF(AND(AD11&gt;=1,AG11=$AX$19),3,""))</f>
        <v/>
      </c>
      <c r="AO11" s="290" t="str">
        <f>IF(C11="","",IF(AND(AD11&gt;=1,OR(AG11=$AX$18,AG11=$AX$17)),3.5,""))</f>
        <v/>
      </c>
      <c r="AP11" s="290" t="str">
        <f>IF(C11="","",IF(AE11&lt;&gt;0,4,""))</f>
        <v/>
      </c>
      <c r="AQ11" s="296" t="str">
        <f>IF(C11&lt;&gt;"",IF(AE11=0,5,""),"")</f>
        <v/>
      </c>
      <c r="AR11" s="687" t="str">
        <f>IF(C11="","",MIN(AH11:AQ11))</f>
        <v/>
      </c>
      <c r="AS11" s="1"/>
      <c r="AT11" s="283" t="str">
        <f t="shared" si="0"/>
        <v/>
      </c>
      <c r="AU11" s="276" t="str">
        <f t="shared" si="0"/>
        <v/>
      </c>
      <c r="AV11" s="276" t="str">
        <f t="shared" si="0"/>
        <v/>
      </c>
      <c r="AW11" s="276" t="str">
        <f t="shared" si="0"/>
        <v/>
      </c>
      <c r="AX11" s="276" t="str">
        <f t="shared" si="0"/>
        <v/>
      </c>
      <c r="AY11" s="276" t="str">
        <f t="shared" si="0"/>
        <v/>
      </c>
      <c r="AZ11" s="276" t="str">
        <f t="shared" si="0"/>
        <v/>
      </c>
      <c r="BA11" s="276" t="str">
        <f t="shared" si="0"/>
        <v/>
      </c>
      <c r="BB11" s="284" t="str">
        <f t="shared" si="0"/>
        <v/>
      </c>
    </row>
    <row r="12" spans="2:54" ht="41.1" customHeight="1" thickBot="1" x14ac:dyDescent="0.25">
      <c r="B12" s="678" t="str">
        <f>'Unos podataka'!F17</f>
        <v/>
      </c>
      <c r="C12" s="353" t="str">
        <f>'Unos podataka'!G17</f>
        <v/>
      </c>
      <c r="D12" s="896" t="str">
        <f>IF(B12&lt;&gt;"",'Unos podataka'!H17,"")</f>
        <v/>
      </c>
      <c r="E12" s="897"/>
      <c r="F12" s="275" t="str">
        <f>IF(B12=1,'Unos podataka'!I17,"")</f>
        <v/>
      </c>
      <c r="G12" s="698" t="str">
        <f>IF(AND(C12&lt;&gt;"",AA22=1),AR12,"")</f>
        <v/>
      </c>
      <c r="H12" s="246" t="str">
        <f>IF(C12&lt;&gt;"",1,"")</f>
        <v/>
      </c>
      <c r="J12" s="283" t="str">
        <f>IF(C12&lt;&gt;"",'EV1 - Hidromorfologija'!G26,"")</f>
        <v/>
      </c>
      <c r="K12" s="276" t="str">
        <f>IF(C12&lt;&gt;"",'EV2 - Ekološki status'!G11,"")</f>
        <v/>
      </c>
      <c r="L12" s="276" t="str">
        <f>IF(C12&lt;&gt;"",'EV3 - Površina sliva'!G11,"")</f>
        <v/>
      </c>
      <c r="M12" s="276" t="str">
        <f>IF(C12&lt;&gt;"",'EV4 - Posebni tipovi vodotoka'!G11,"")</f>
        <v/>
      </c>
      <c r="N12" s="276" t="str">
        <f>IF(C12&lt;&gt;"",'EV4 - Posebni tipovi vodotoka'!J11,"")</f>
        <v/>
      </c>
      <c r="O12" s="276" t="str">
        <f>IF(C12&lt;&gt;"",'EV5 -Postojanje mrjestilišta'!G11,"")</f>
        <v/>
      </c>
      <c r="P12" s="276" t="str">
        <f>IF('EV6- Putevi slobodnog toka'!F11="","",IF(C12&lt;&gt;"",'EV6- Putevi slobodnog toka'!F11,""))</f>
        <v/>
      </c>
      <c r="Q12" s="276" t="str">
        <f>IF(C12&lt;&gt;"",'EV7 - Toplotno zagađenje'!G11,"")</f>
        <v/>
      </c>
      <c r="R12" s="684" t="str">
        <f>IF(C12&lt;&gt;"",'EV8 - Akumulacija'!H11,"")</f>
        <v/>
      </c>
      <c r="S12" s="283" t="str">
        <f>IF(C12&lt;&gt;"",'EV1 - Hidromorfologija'!H26,"")</f>
        <v/>
      </c>
      <c r="T12" s="276" t="str">
        <f>IF(C12&lt;&gt;"",'EV2 - Ekološki status'!H11,"")</f>
        <v/>
      </c>
      <c r="U12" s="276" t="str">
        <f>IF(C12&lt;&gt;"",'EV3 - Površina sliva'!H11,"")</f>
        <v/>
      </c>
      <c r="V12" s="276" t="str">
        <f>IF(C12&lt;&gt;"",'EV4 - Posebni tipovi vodotoka'!H11,"")</f>
        <v/>
      </c>
      <c r="W12" s="276" t="str">
        <f>IF(C12&lt;&gt;"",'EV4 - Posebni tipovi vodotoka'!K11,"")</f>
        <v/>
      </c>
      <c r="X12" s="276" t="str">
        <f>IF(C12&lt;&gt;"",'EV5 -Postojanje mrjestilišta'!H11,"")</f>
        <v/>
      </c>
      <c r="Y12" s="276" t="str">
        <f>IF(C12&lt;&gt;"",'EV6- Putevi slobodnog toka'!G11,"")</f>
        <v/>
      </c>
      <c r="Z12" s="276" t="str">
        <f>IF(C12&lt;&gt;"",'EV7 - Toplotno zagađenje'!H11,"")</f>
        <v/>
      </c>
      <c r="AA12" s="284" t="str">
        <f>IF(C12&lt;&gt;"",'EV8 - Akumulacija'!I11,"")</f>
        <v/>
      </c>
      <c r="AC12" s="310" t="str">
        <f>IF(C12="","",SUMPRODUCT((J12:R12=$AV$17)*(S12:AA12="***")))</f>
        <v/>
      </c>
      <c r="AD12" s="304" t="str">
        <f>IF(C12="","",COUNTIF(J12:R12,$AV$17))</f>
        <v/>
      </c>
      <c r="AE12" s="304" t="str">
        <f>IF(C12="","",COUNTIF(J12:R12,$AV$18))</f>
        <v/>
      </c>
      <c r="AF12" s="305" t="str">
        <f t="shared" si="1"/>
        <v/>
      </c>
      <c r="AG12" s="311" t="str">
        <f>IF(C12="","",IF(AF12&lt;1.5,$AX$17,IF(AF12&gt;2.4,$AX$19,$AX$18)))</f>
        <v/>
      </c>
      <c r="AH12" s="291" t="str">
        <f>IF(C12="","",IF(OR(K12=$AV$17,AND(AD12&gt;=3,AC12&gt;=2)),0,""))</f>
        <v/>
      </c>
      <c r="AI12" s="290" t="str">
        <f>IF(C12="","",IF(AND(AD12&gt;=3,AG12=$AX$18),0.5,""))</f>
        <v/>
      </c>
      <c r="AJ12" s="290" t="str">
        <f>IF(C12="","",IF(AND(AD12&gt;=3,AG12=$AX$17),1,""))</f>
        <v/>
      </c>
      <c r="AK12" s="290" t="str">
        <f>IF(C12="","",IF(AND(AD12&gt;=2,AG12=$AX$19),1.5,""))</f>
        <v/>
      </c>
      <c r="AL12" s="290" t="str">
        <f>IF(C12="","",IF(AND(AD12&gt;=2,AG12=$AX$18),2,""))</f>
        <v/>
      </c>
      <c r="AM12" s="290" t="str">
        <f>IF(C12="","",IF(AND(AD12&gt;=2,AG12=$AX$17),2.5,""))</f>
        <v/>
      </c>
      <c r="AN12" s="290" t="str">
        <f>IF(C12="","",IF(AND(AD12&gt;=1,AG12=$AX$19),3,""))</f>
        <v/>
      </c>
      <c r="AO12" s="290" t="str">
        <f>IF(C12="","",IF(AND(AD12&gt;=1,OR(AG12=$AX$18,AG12=$AX$17)),3.5,""))</f>
        <v/>
      </c>
      <c r="AP12" s="290" t="str">
        <f>IF(C12="","",IF(AE12&lt;&gt;0,4,""))</f>
        <v/>
      </c>
      <c r="AQ12" s="296" t="str">
        <f>IF(C12&lt;&gt;"",IF(AE12=0,5,""),"")</f>
        <v/>
      </c>
      <c r="AR12" s="687" t="str">
        <f>IF(C12="","",MIN(AH12:AQ12))</f>
        <v/>
      </c>
      <c r="AS12" s="1"/>
      <c r="AT12" s="283" t="str">
        <f t="shared" si="0"/>
        <v/>
      </c>
      <c r="AU12" s="276" t="str">
        <f t="shared" si="0"/>
        <v/>
      </c>
      <c r="AV12" s="276" t="str">
        <f t="shared" si="0"/>
        <v/>
      </c>
      <c r="AW12" s="276" t="str">
        <f t="shared" si="0"/>
        <v/>
      </c>
      <c r="AX12" s="276" t="str">
        <f t="shared" si="0"/>
        <v/>
      </c>
      <c r="AY12" s="276" t="str">
        <f t="shared" si="0"/>
        <v/>
      </c>
      <c r="AZ12" s="276" t="str">
        <f t="shared" si="0"/>
        <v/>
      </c>
      <c r="BA12" s="276" t="str">
        <f t="shared" si="0"/>
        <v/>
      </c>
      <c r="BB12" s="284" t="str">
        <f t="shared" si="0"/>
        <v/>
      </c>
    </row>
    <row r="13" spans="2:54" ht="41.1" customHeight="1" thickBot="1" x14ac:dyDescent="0.25">
      <c r="B13" s="678" t="str">
        <f>'Unos podataka'!F18</f>
        <v/>
      </c>
      <c r="C13" s="586" t="str">
        <f>'Unos podataka'!G18</f>
        <v/>
      </c>
      <c r="D13" s="898" t="str">
        <f>IF(B13&lt;&gt;"",'Unos podataka'!H18,"")</f>
        <v/>
      </c>
      <c r="E13" s="897"/>
      <c r="F13" s="275" t="str">
        <f>IF(B13=1,'Unos podataka'!I18,"")</f>
        <v/>
      </c>
      <c r="G13" s="698" t="str">
        <f>IF(AND(C13&lt;&gt;"",AA23=1),AR13,"")</f>
        <v/>
      </c>
      <c r="H13" s="246" t="str">
        <f>IF(C13&lt;&gt;"",1,"")</f>
        <v/>
      </c>
      <c r="J13" s="285" t="str">
        <f>IF(C13&lt;&gt;"",'EV1 - Hidromorfologija'!G27,"")</f>
        <v/>
      </c>
      <c r="K13" s="286" t="str">
        <f>IF(C13&lt;&gt;"",'EV2 - Ekološki status'!G12,"")</f>
        <v/>
      </c>
      <c r="L13" s="286" t="str">
        <f>IF(C13&lt;&gt;"",'EV3 - Površina sliva'!G12,"")</f>
        <v/>
      </c>
      <c r="M13" s="286" t="str">
        <f>IF(C13&lt;&gt;"",'EV4 - Posebni tipovi vodotoka'!G12,"")</f>
        <v/>
      </c>
      <c r="N13" s="286" t="str">
        <f>IF(C13&lt;&gt;"",'EV4 - Posebni tipovi vodotoka'!J12,"")</f>
        <v/>
      </c>
      <c r="O13" s="286" t="str">
        <f>IF(C13&lt;&gt;"",'EV5 -Postojanje mrjestilišta'!G12,"")</f>
        <v/>
      </c>
      <c r="P13" s="286" t="str">
        <f>IF('EV6- Putevi slobodnog toka'!F12="","",IF(C13&lt;&gt;"",'EV6- Putevi slobodnog toka'!F12,""))</f>
        <v/>
      </c>
      <c r="Q13" s="286" t="str">
        <f>IF(C13&lt;&gt;"",'EV7 - Toplotno zagađenje'!G12,"")</f>
        <v/>
      </c>
      <c r="R13" s="685" t="str">
        <f>IF(C13&lt;&gt;"",'EV8 - Akumulacija'!H12,"")</f>
        <v/>
      </c>
      <c r="S13" s="285" t="str">
        <f>IF(C13&lt;&gt;"",'EV1 - Hidromorfologija'!H27,"")</f>
        <v/>
      </c>
      <c r="T13" s="286" t="str">
        <f>IF(C13&lt;&gt;"",'EV2 - Ekološki status'!H12,"")</f>
        <v/>
      </c>
      <c r="U13" s="286" t="str">
        <f>IF(C13&lt;&gt;"",'EV3 - Površina sliva'!H12,"")</f>
        <v/>
      </c>
      <c r="V13" s="286" t="str">
        <f>IF(C13&lt;&gt;"",'EV4 - Posebni tipovi vodotoka'!H12,"")</f>
        <v/>
      </c>
      <c r="W13" s="286" t="str">
        <f>IF(C13&lt;&gt;"",'EV4 - Posebni tipovi vodotoka'!K12,"")</f>
        <v/>
      </c>
      <c r="X13" s="286" t="str">
        <f>IF(C13&lt;&gt;"",'EV5 -Postojanje mrjestilišta'!H12,"")</f>
        <v/>
      </c>
      <c r="Y13" s="286" t="str">
        <f>IF(C13&lt;&gt;"",'EV6- Putevi slobodnog toka'!G12,"")</f>
        <v/>
      </c>
      <c r="Z13" s="286" t="str">
        <f>IF(C13&lt;&gt;"",'EV7 - Toplotno zagađenje'!H12,"")</f>
        <v/>
      </c>
      <c r="AA13" s="287" t="str">
        <f>IF(C13&lt;&gt;"",'EV8 - Akumulacija'!I12,"")</f>
        <v/>
      </c>
      <c r="AC13" s="312" t="str">
        <f>IF(C13="","",SUMPRODUCT((J13:R13=$AV$17)*(S13:AA13="***")))</f>
        <v/>
      </c>
      <c r="AD13" s="313" t="str">
        <f>IF(C13="","",COUNTIF(J13:R13,$AV$17))</f>
        <v/>
      </c>
      <c r="AE13" s="313" t="str">
        <f>IF(C13="","",COUNTIF(J13:R13,$AV$18))</f>
        <v/>
      </c>
      <c r="AF13" s="314" t="str">
        <f t="shared" si="1"/>
        <v/>
      </c>
      <c r="AG13" s="315" t="str">
        <f>IF(C13="","",IF(AF13&lt;1.5,$AX$17,IF(AF13&gt;2.4,$AX$19,$AX$18)))</f>
        <v/>
      </c>
      <c r="AH13" s="300" t="str">
        <f>IF(C13="","",IF(OR(K13=$AV$17,AND(AD13&gt;=3,AC13&gt;=2)),0,""))</f>
        <v/>
      </c>
      <c r="AI13" s="292" t="str">
        <f>IF(C13="","",IF(AND(AD13&gt;=3,AG13=$AX$18),0.5,""))</f>
        <v/>
      </c>
      <c r="AJ13" s="292" t="str">
        <f>IF(C13="","",IF(AND(AD13&gt;=3,AG13=$AX$17),1,""))</f>
        <v/>
      </c>
      <c r="AK13" s="292" t="str">
        <f>IF(C13="","",IF(AND(AD13&gt;=2,AG13=$AX$19),1.5,""))</f>
        <v/>
      </c>
      <c r="AL13" s="292" t="str">
        <f>IF(C13="","",IF(AND(AD13&gt;=2,AG13=$AX$18),2,""))</f>
        <v/>
      </c>
      <c r="AM13" s="292" t="str">
        <f>IF(C13="","",IF(AND(AD13&gt;=2,AG13=$AX$17),2.5,""))</f>
        <v/>
      </c>
      <c r="AN13" s="292" t="str">
        <f>IF(C13="","",IF(AND(AD13&gt;=1,AG13=$AX$19),3,""))</f>
        <v/>
      </c>
      <c r="AO13" s="292" t="str">
        <f>IF(C13="","",IF(AND(AD13&gt;=1,OR(AG13=$AX$18,AG13=$AX$17)),3.5,""))</f>
        <v/>
      </c>
      <c r="AP13" s="292" t="str">
        <f>IF(C13="","",IF(AE13&lt;&gt;0,4,""))</f>
        <v/>
      </c>
      <c r="AQ13" s="297" t="str">
        <f>IF(C13&lt;&gt;"",IF(AE13=0,5,""),"")</f>
        <v/>
      </c>
      <c r="AR13" s="688" t="str">
        <f>IF(C13="","",MIN(AH13:AQ13))</f>
        <v/>
      </c>
      <c r="AS13" s="1"/>
      <c r="AT13" s="285" t="str">
        <f t="shared" si="0"/>
        <v/>
      </c>
      <c r="AU13" s="286" t="str">
        <f t="shared" si="0"/>
        <v/>
      </c>
      <c r="AV13" s="286" t="str">
        <f t="shared" si="0"/>
        <v/>
      </c>
      <c r="AW13" s="286" t="str">
        <f t="shared" si="0"/>
        <v/>
      </c>
      <c r="AX13" s="286" t="str">
        <f t="shared" si="0"/>
        <v/>
      </c>
      <c r="AY13" s="286" t="str">
        <f t="shared" si="0"/>
        <v/>
      </c>
      <c r="AZ13" s="286" t="str">
        <f t="shared" si="0"/>
        <v/>
      </c>
      <c r="BA13" s="286" t="str">
        <f t="shared" si="0"/>
        <v/>
      </c>
      <c r="BB13" s="287" t="str">
        <f t="shared" si="0"/>
        <v/>
      </c>
    </row>
    <row r="14" spans="2:54" x14ac:dyDescent="0.2">
      <c r="B14" s="197"/>
      <c r="C14" s="16"/>
      <c r="D14" s="16"/>
      <c r="E14" s="16"/>
      <c r="F14" s="16"/>
      <c r="G14" s="16"/>
      <c r="H14" s="21"/>
      <c r="AS14" s="1"/>
    </row>
    <row r="15" spans="2:54" ht="17.100000000000001" customHeight="1" thickBot="1" x14ac:dyDescent="0.25">
      <c r="B15" s="197"/>
      <c r="C15" s="46"/>
      <c r="D15" s="46"/>
      <c r="E15" s="46"/>
      <c r="F15" s="46"/>
      <c r="G15" s="16"/>
      <c r="H15" s="21"/>
      <c r="AS15" s="1"/>
    </row>
    <row r="16" spans="2:54" ht="38.1" customHeight="1" thickBot="1" x14ac:dyDescent="0.25">
      <c r="B16" s="197"/>
      <c r="C16" s="893" t="s">
        <v>352</v>
      </c>
      <c r="D16" s="894"/>
      <c r="E16" s="894"/>
      <c r="F16" s="895"/>
      <c r="G16" s="699" t="str">
        <f>IF(OR(C9="",F9=0),"",IF(AA24&lt;COUNT(H9:H13),"",SUMPRODUCT(F9:F13,G9:G13)/SUMPRODUCT(F9:F13)))</f>
        <v/>
      </c>
      <c r="H16" s="21"/>
      <c r="AS16" s="1"/>
    </row>
    <row r="17" spans="2:50" ht="16.5" thickBot="1" x14ac:dyDescent="0.3">
      <c r="B17" s="204"/>
      <c r="C17" s="51"/>
      <c r="D17" s="51"/>
      <c r="E17" s="51"/>
      <c r="F17" s="51"/>
      <c r="G17" s="51"/>
      <c r="H17" s="205"/>
      <c r="Q17" s="907" t="s">
        <v>524</v>
      </c>
      <c r="R17" s="908"/>
      <c r="S17" s="908"/>
      <c r="T17" s="908"/>
      <c r="U17" s="908"/>
      <c r="V17" s="908"/>
      <c r="W17" s="908"/>
      <c r="X17" s="908"/>
      <c r="Y17" s="908"/>
      <c r="Z17" s="908"/>
      <c r="AA17" s="909"/>
      <c r="AC17" s="339" t="s">
        <v>354</v>
      </c>
      <c r="AD17" s="340"/>
      <c r="AE17" s="340"/>
      <c r="AF17" s="340"/>
      <c r="AG17" s="340"/>
      <c r="AH17" s="340"/>
      <c r="AI17" s="340"/>
      <c r="AJ17" s="340"/>
      <c r="AK17" s="340"/>
      <c r="AL17" s="340"/>
      <c r="AM17" s="340"/>
      <c r="AN17" s="340"/>
      <c r="AO17" s="343" t="s">
        <v>80</v>
      </c>
      <c r="AT17" s="338"/>
      <c r="AU17" s="329"/>
      <c r="AV17" s="330" t="s">
        <v>270</v>
      </c>
      <c r="AW17" s="329"/>
      <c r="AX17" s="331" t="s">
        <v>355</v>
      </c>
    </row>
    <row r="18" spans="2:50" ht="18.95" customHeight="1" thickBot="1" x14ac:dyDescent="0.25">
      <c r="Q18" s="679"/>
      <c r="R18" s="680" t="s">
        <v>368</v>
      </c>
      <c r="S18" s="681" t="s">
        <v>369</v>
      </c>
      <c r="T18" s="681" t="s">
        <v>370</v>
      </c>
      <c r="U18" s="681" t="s">
        <v>371</v>
      </c>
      <c r="V18" s="681" t="s">
        <v>372</v>
      </c>
      <c r="W18" s="681" t="s">
        <v>373</v>
      </c>
      <c r="X18" s="681" t="s">
        <v>374</v>
      </c>
      <c r="Y18" s="681" t="s">
        <v>375</v>
      </c>
      <c r="Z18" s="681" t="s">
        <v>376</v>
      </c>
      <c r="AA18" s="682" t="s">
        <v>353</v>
      </c>
      <c r="AC18" s="316" t="s">
        <v>358</v>
      </c>
      <c r="AD18" s="317"/>
      <c r="AE18" s="317"/>
      <c r="AF18" s="317"/>
      <c r="AG18" s="317"/>
      <c r="AH18" s="317"/>
      <c r="AI18" s="317"/>
      <c r="AJ18" s="317"/>
      <c r="AK18" s="317"/>
      <c r="AL18" s="317"/>
      <c r="AM18" s="317"/>
      <c r="AN18" s="317"/>
      <c r="AO18" s="323">
        <v>5</v>
      </c>
      <c r="AT18" s="332"/>
      <c r="AU18" s="327"/>
      <c r="AV18" s="328" t="s">
        <v>271</v>
      </c>
      <c r="AW18" s="327"/>
      <c r="AX18" s="333" t="s">
        <v>356</v>
      </c>
    </row>
    <row r="19" spans="2:50" ht="17.100000000000001" customHeight="1" thickBot="1" x14ac:dyDescent="0.25">
      <c r="Q19" s="528" t="str">
        <f>C9</f>
        <v/>
      </c>
      <c r="R19" s="535" t="str">
        <f t="shared" ref="R19" si="2">IF(Q19="","",IF(J9&lt;&gt;"",1,0))</f>
        <v/>
      </c>
      <c r="S19" s="535" t="str">
        <f t="shared" ref="S19" si="3">IF(R19="","",IF(K9&lt;&gt;"",1,0))</f>
        <v/>
      </c>
      <c r="T19" s="535" t="str">
        <f t="shared" ref="T19" si="4">IF(S19="","",IF(L9&lt;&gt;"",1,0))</f>
        <v/>
      </c>
      <c r="U19" s="535" t="str">
        <f>IF(T19="","",IF(M9&lt;&gt;"",1,0))</f>
        <v/>
      </c>
      <c r="V19" s="535" t="str">
        <f t="shared" ref="V19" si="5">IF(U19="","",IF(N9&lt;&gt;"",1,0))</f>
        <v/>
      </c>
      <c r="W19" s="535" t="str">
        <f t="shared" ref="W19" si="6">IF(V19="","",IF(O9&lt;&gt;"",1,0))</f>
        <v/>
      </c>
      <c r="X19" s="535" t="str">
        <f t="shared" ref="X19" si="7">IF(W19="","",IF(P9&lt;&gt;"",1,0))</f>
        <v/>
      </c>
      <c r="Y19" s="535" t="str">
        <f t="shared" ref="Y19" si="8">IF(X19="","",IF(Q9&lt;&gt;"",1,0))</f>
        <v/>
      </c>
      <c r="Z19" s="535" t="str">
        <f t="shared" ref="Z19" si="9">IF(Y19="","",IF(R9&lt;&gt;"",1,0))</f>
        <v/>
      </c>
      <c r="AA19" s="535" t="str">
        <f t="shared" ref="AA19" si="10">IF(Q19="","",PRODUCT(R19:Z19))</f>
        <v/>
      </c>
      <c r="AC19" s="318" t="s">
        <v>359</v>
      </c>
      <c r="AD19" s="319"/>
      <c r="AE19" s="319"/>
      <c r="AF19" s="319"/>
      <c r="AG19" s="319"/>
      <c r="AH19" s="319"/>
      <c r="AI19" s="319"/>
      <c r="AJ19" s="319"/>
      <c r="AK19" s="319"/>
      <c r="AL19" s="319"/>
      <c r="AM19" s="319"/>
      <c r="AN19" s="319"/>
      <c r="AO19" s="324">
        <v>4</v>
      </c>
      <c r="AT19" s="334"/>
      <c r="AU19" s="335"/>
      <c r="AV19" s="336" t="s">
        <v>272</v>
      </c>
      <c r="AW19" s="335"/>
      <c r="AX19" s="337" t="s">
        <v>357</v>
      </c>
    </row>
    <row r="20" spans="2:50" x14ac:dyDescent="0.2">
      <c r="Q20" s="529" t="str">
        <f>C10</f>
        <v/>
      </c>
      <c r="R20" s="535" t="str">
        <f t="shared" ref="R20:R23" si="11">IF(Q20="","",IF(J10&lt;&gt;"",1,0))</f>
        <v/>
      </c>
      <c r="S20" s="535" t="str">
        <f t="shared" ref="S20:S23" si="12">IF(R20="","",IF(K10&lt;&gt;"",1,0))</f>
        <v/>
      </c>
      <c r="T20" s="535" t="str">
        <f t="shared" ref="T20:T23" si="13">IF(S20="","",IF(L10&lt;&gt;"",1,0))</f>
        <v/>
      </c>
      <c r="U20" s="535" t="str">
        <f t="shared" ref="U20:U23" si="14">IF(T20="","",IF(M10&lt;&gt;"",1,0))</f>
        <v/>
      </c>
      <c r="V20" s="535" t="str">
        <f t="shared" ref="V20:V23" si="15">IF(U20="","",IF(N10&lt;&gt;"",1,0))</f>
        <v/>
      </c>
      <c r="W20" s="535" t="str">
        <f t="shared" ref="W20:W23" si="16">IF(V20="","",IF(O10&lt;&gt;"",1,0))</f>
        <v/>
      </c>
      <c r="X20" s="535" t="str">
        <f t="shared" ref="X20:X23" si="17">IF(W20="","",IF(P10&lt;&gt;"",1,0))</f>
        <v/>
      </c>
      <c r="Y20" s="535" t="str">
        <f t="shared" ref="Y20:Y23" si="18">IF(X20="","",IF(Q10&lt;&gt;"",1,0))</f>
        <v/>
      </c>
      <c r="Z20" s="535" t="str">
        <f t="shared" ref="Z20:Z23" si="19">IF(Y20="","",IF(R10&lt;&gt;"",1,0))</f>
        <v/>
      </c>
      <c r="AA20" s="535" t="str">
        <f t="shared" ref="AA20:AA23" si="20">IF(Q20="","",PRODUCT(R20:Z20))</f>
        <v/>
      </c>
      <c r="AC20" s="318" t="s">
        <v>360</v>
      </c>
      <c r="AD20" s="319"/>
      <c r="AE20" s="319"/>
      <c r="AF20" s="319"/>
      <c r="AG20" s="319"/>
      <c r="AH20" s="319"/>
      <c r="AI20" s="319"/>
      <c r="AJ20" s="319"/>
      <c r="AK20" s="319"/>
      <c r="AL20" s="319"/>
      <c r="AM20" s="319"/>
      <c r="AN20" s="319"/>
      <c r="AO20" s="324">
        <v>3.5</v>
      </c>
    </row>
    <row r="21" spans="2:50" customFormat="1" ht="15.75" x14ac:dyDescent="0.25">
      <c r="B21" s="80"/>
      <c r="C21" s="80"/>
      <c r="D21" s="80"/>
      <c r="E21" s="80"/>
      <c r="F21" s="80"/>
      <c r="G21" s="80"/>
      <c r="H21" s="80"/>
      <c r="I21" s="80"/>
      <c r="J21" s="135"/>
      <c r="K21" s="135"/>
      <c r="L21" s="135"/>
      <c r="M21" s="135"/>
      <c r="N21" s="135"/>
      <c r="O21" s="135"/>
      <c r="P21" s="135"/>
      <c r="Q21" s="529" t="str">
        <f>C11</f>
        <v/>
      </c>
      <c r="R21" s="535" t="str">
        <f t="shared" si="11"/>
        <v/>
      </c>
      <c r="S21" s="535" t="str">
        <f t="shared" si="12"/>
        <v/>
      </c>
      <c r="T21" s="535" t="str">
        <f t="shared" si="13"/>
        <v/>
      </c>
      <c r="U21" s="535" t="str">
        <f t="shared" si="14"/>
        <v/>
      </c>
      <c r="V21" s="535" t="str">
        <f t="shared" si="15"/>
        <v/>
      </c>
      <c r="W21" s="535" t="str">
        <f t="shared" si="16"/>
        <v/>
      </c>
      <c r="X21" s="535" t="str">
        <f t="shared" si="17"/>
        <v/>
      </c>
      <c r="Y21" s="535" t="str">
        <f t="shared" si="18"/>
        <v/>
      </c>
      <c r="Z21" s="535" t="str">
        <f t="shared" si="19"/>
        <v/>
      </c>
      <c r="AA21" s="535" t="str">
        <f t="shared" si="20"/>
        <v/>
      </c>
      <c r="AC21" s="318" t="s">
        <v>361</v>
      </c>
      <c r="AD21" s="319"/>
      <c r="AE21" s="319"/>
      <c r="AF21" s="319"/>
      <c r="AG21" s="319"/>
      <c r="AH21" s="320"/>
      <c r="AI21" s="320"/>
      <c r="AJ21" s="320"/>
      <c r="AK21" s="319"/>
      <c r="AL21" s="320"/>
      <c r="AM21" s="319"/>
      <c r="AN21" s="319"/>
      <c r="AO21" s="325">
        <v>3</v>
      </c>
      <c r="AP21" s="80"/>
    </row>
    <row r="22" spans="2:50" x14ac:dyDescent="0.2">
      <c r="J22" s="135"/>
      <c r="K22" s="135"/>
      <c r="L22" s="135"/>
      <c r="M22" s="135"/>
      <c r="N22" s="135"/>
      <c r="O22" s="135"/>
      <c r="P22" s="135"/>
      <c r="Q22" s="529" t="str">
        <f>C12</f>
        <v/>
      </c>
      <c r="R22" s="535" t="str">
        <f t="shared" si="11"/>
        <v/>
      </c>
      <c r="S22" s="535" t="str">
        <f t="shared" si="12"/>
        <v/>
      </c>
      <c r="T22" s="535" t="str">
        <f t="shared" si="13"/>
        <v/>
      </c>
      <c r="U22" s="535" t="str">
        <f t="shared" si="14"/>
        <v/>
      </c>
      <c r="V22" s="535" t="str">
        <f t="shared" si="15"/>
        <v/>
      </c>
      <c r="W22" s="535" t="str">
        <f t="shared" si="16"/>
        <v/>
      </c>
      <c r="X22" s="535" t="str">
        <f t="shared" si="17"/>
        <v/>
      </c>
      <c r="Y22" s="535" t="str">
        <f t="shared" si="18"/>
        <v/>
      </c>
      <c r="Z22" s="535" t="str">
        <f t="shared" si="19"/>
        <v/>
      </c>
      <c r="AA22" s="535" t="str">
        <f t="shared" si="20"/>
        <v/>
      </c>
      <c r="AC22" s="318" t="s">
        <v>362</v>
      </c>
      <c r="AD22" s="319"/>
      <c r="AE22" s="319"/>
      <c r="AF22" s="319"/>
      <c r="AG22" s="319"/>
      <c r="AH22" s="319"/>
      <c r="AI22" s="319"/>
      <c r="AJ22" s="319"/>
      <c r="AK22" s="319"/>
      <c r="AL22" s="319"/>
      <c r="AM22" s="319"/>
      <c r="AN22" s="319"/>
      <c r="AO22" s="324">
        <v>2.5</v>
      </c>
    </row>
    <row r="23" spans="2:50" ht="15.75" thickBot="1" x14ac:dyDescent="0.25">
      <c r="Q23" s="530" t="str">
        <f>C13</f>
        <v/>
      </c>
      <c r="R23" s="535" t="str">
        <f t="shared" si="11"/>
        <v/>
      </c>
      <c r="S23" s="535" t="str">
        <f t="shared" si="12"/>
        <v/>
      </c>
      <c r="T23" s="535" t="str">
        <f t="shared" si="13"/>
        <v/>
      </c>
      <c r="U23" s="535" t="str">
        <f t="shared" si="14"/>
        <v/>
      </c>
      <c r="V23" s="535" t="str">
        <f t="shared" si="15"/>
        <v/>
      </c>
      <c r="W23" s="535" t="str">
        <f t="shared" si="16"/>
        <v/>
      </c>
      <c r="X23" s="535" t="str">
        <f t="shared" si="17"/>
        <v/>
      </c>
      <c r="Y23" s="535" t="str">
        <f t="shared" si="18"/>
        <v/>
      </c>
      <c r="Z23" s="535" t="str">
        <f t="shared" si="19"/>
        <v/>
      </c>
      <c r="AA23" s="535" t="str">
        <f t="shared" si="20"/>
        <v/>
      </c>
      <c r="AC23" s="318" t="s">
        <v>363</v>
      </c>
      <c r="AD23" s="319"/>
      <c r="AE23" s="319"/>
      <c r="AF23" s="319"/>
      <c r="AG23" s="319"/>
      <c r="AH23" s="319"/>
      <c r="AI23" s="319"/>
      <c r="AJ23" s="319"/>
      <c r="AK23" s="319"/>
      <c r="AL23" s="319"/>
      <c r="AM23" s="319"/>
      <c r="AN23" s="319"/>
      <c r="AO23" s="324">
        <v>2</v>
      </c>
    </row>
    <row r="24" spans="2:50" ht="16.5" thickBot="1" x14ac:dyDescent="0.3">
      <c r="Q24" s="531" t="s">
        <v>353</v>
      </c>
      <c r="R24" s="532">
        <f>SUM(R19:R23)</f>
        <v>0</v>
      </c>
      <c r="S24" s="533">
        <f t="shared" ref="S24:AA24" si="21">SUM(S19:S23)</f>
        <v>0</v>
      </c>
      <c r="T24" s="533">
        <f t="shared" si="21"/>
        <v>0</v>
      </c>
      <c r="U24" s="533">
        <f t="shared" si="21"/>
        <v>0</v>
      </c>
      <c r="V24" s="533">
        <f t="shared" si="21"/>
        <v>0</v>
      </c>
      <c r="W24" s="533">
        <f t="shared" si="21"/>
        <v>0</v>
      </c>
      <c r="X24" s="533">
        <f t="shared" si="21"/>
        <v>0</v>
      </c>
      <c r="Y24" s="533">
        <f t="shared" si="21"/>
        <v>0</v>
      </c>
      <c r="Z24" s="533">
        <f t="shared" si="21"/>
        <v>0</v>
      </c>
      <c r="AA24" s="534">
        <f t="shared" si="21"/>
        <v>0</v>
      </c>
      <c r="AC24" s="318" t="s">
        <v>364</v>
      </c>
      <c r="AD24" s="319"/>
      <c r="AE24" s="319"/>
      <c r="AF24" s="319"/>
      <c r="AG24" s="319"/>
      <c r="AH24" s="319"/>
      <c r="AI24" s="319"/>
      <c r="AJ24" s="319"/>
      <c r="AK24" s="319"/>
      <c r="AL24" s="319"/>
      <c r="AM24" s="319"/>
      <c r="AN24" s="319"/>
      <c r="AO24" s="324">
        <v>1.5</v>
      </c>
    </row>
    <row r="25" spans="2:50" x14ac:dyDescent="0.2">
      <c r="AC25" s="318" t="s">
        <v>365</v>
      </c>
      <c r="AD25" s="319"/>
      <c r="AE25" s="319"/>
      <c r="AF25" s="319"/>
      <c r="AG25" s="319"/>
      <c r="AH25" s="319"/>
      <c r="AI25" s="319"/>
      <c r="AJ25" s="319"/>
      <c r="AK25" s="319"/>
      <c r="AL25" s="319"/>
      <c r="AM25" s="319"/>
      <c r="AN25" s="319"/>
      <c r="AO25" s="324">
        <v>1</v>
      </c>
    </row>
    <row r="26" spans="2:50" x14ac:dyDescent="0.2">
      <c r="AC26" s="318" t="s">
        <v>366</v>
      </c>
      <c r="AD26" s="319"/>
      <c r="AE26" s="319"/>
      <c r="AF26" s="319"/>
      <c r="AG26" s="319"/>
      <c r="AH26" s="319"/>
      <c r="AI26" s="319"/>
      <c r="AJ26" s="319"/>
      <c r="AK26" s="319"/>
      <c r="AL26" s="319"/>
      <c r="AM26" s="319"/>
      <c r="AN26" s="319"/>
      <c r="AO26" s="324">
        <v>0.5</v>
      </c>
    </row>
    <row r="27" spans="2:50" ht="15.75" thickBot="1" x14ac:dyDescent="0.25">
      <c r="AC27" s="321" t="s">
        <v>367</v>
      </c>
      <c r="AD27" s="322"/>
      <c r="AE27" s="322"/>
      <c r="AF27" s="322"/>
      <c r="AG27" s="322"/>
      <c r="AH27" s="322"/>
      <c r="AI27" s="322"/>
      <c r="AJ27" s="322"/>
      <c r="AK27" s="322"/>
      <c r="AL27" s="322"/>
      <c r="AM27" s="322"/>
      <c r="AN27" s="322"/>
      <c r="AO27" s="326">
        <v>0</v>
      </c>
    </row>
  </sheetData>
  <sheetProtection algorithmName="SHA-512" hashValue="C30KZvX13ly5+EcvbQchuAut/CPNOI5GBeox5nCFKq0Q+KFObOVeH2RTxJsJVsH3Dx2nIab4Y3maoZJRKKS5AQ==" saltValue="acvaFu/DjRj0BG5GJwxDcA==" spinCount="100000" sheet="1" objects="1" scenarios="1"/>
  <mergeCells count="13">
    <mergeCell ref="Q17:AA17"/>
    <mergeCell ref="J7:R7"/>
    <mergeCell ref="S7:AA7"/>
    <mergeCell ref="AH6:AR7"/>
    <mergeCell ref="AT6:BB7"/>
    <mergeCell ref="C16:F16"/>
    <mergeCell ref="D12:E12"/>
    <mergeCell ref="D13:E13"/>
    <mergeCell ref="AC6:AG7"/>
    <mergeCell ref="D8:E8"/>
    <mergeCell ref="D9:E9"/>
    <mergeCell ref="D10:E10"/>
    <mergeCell ref="D11:E11"/>
  </mergeCells>
  <phoneticPr fontId="55" type="noConversion"/>
  <conditionalFormatting sqref="C9:D13">
    <cfRule type="expression" dxfId="131" priority="34">
      <formula>$C9="n.a."</formula>
    </cfRule>
  </conditionalFormatting>
  <conditionalFormatting sqref="G9:G13">
    <cfRule type="expression" dxfId="130" priority="33">
      <formula>C9&lt;&gt;""</formula>
    </cfRule>
  </conditionalFormatting>
  <conditionalFormatting sqref="R19:Z23">
    <cfRule type="cellIs" dxfId="129" priority="19" operator="equal">
      <formula>0</formula>
    </cfRule>
    <cfRule type="cellIs" dxfId="128" priority="20" operator="equal">
      <formula>1</formula>
    </cfRule>
  </conditionalFormatting>
  <conditionalFormatting sqref="AA19:AA23">
    <cfRule type="cellIs" dxfId="127" priority="13" operator="equal">
      <formula>0</formula>
    </cfRule>
    <cfRule type="cellIs" dxfId="126" priority="14" operator="equal">
      <formula>1</formula>
    </cfRule>
  </conditionalFormatting>
  <conditionalFormatting sqref="F9">
    <cfRule type="cellIs" dxfId="125" priority="8" operator="equal">
      <formula>0</formula>
    </cfRule>
  </conditionalFormatting>
  <conditionalFormatting sqref="F10:F13">
    <cfRule type="cellIs" dxfId="124" priority="7" operator="equal">
      <formula>0</formula>
    </cfRule>
  </conditionalFormatting>
  <conditionalFormatting sqref="J9:R13">
    <cfRule type="expression" dxfId="123" priority="4">
      <formula>J9=$AV$19</formula>
    </cfRule>
    <cfRule type="expression" dxfId="122" priority="5">
      <formula>J9=$AV$18</formula>
    </cfRule>
    <cfRule type="expression" dxfId="121" priority="6">
      <formula>J9=$AV$17</formula>
    </cfRule>
  </conditionalFormatting>
  <conditionalFormatting sqref="S9:AA13">
    <cfRule type="expression" dxfId="120" priority="1">
      <formula>S9="*"</formula>
    </cfRule>
    <cfRule type="expression" dxfId="119" priority="2">
      <formula>S9="**"</formula>
    </cfRule>
    <cfRule type="expression" dxfId="118" priority="3">
      <formula>S9="***"</formula>
    </cfRule>
  </conditionalFormatting>
  <pageMargins left="0.7" right="0.7" top="0.78740157499999996" bottom="0.78740157499999996" header="0.3" footer="0.3"/>
  <pageSetup paperSize="9" orientation="portrait" r:id="rId1"/>
  <legacyDrawing r:id="rId2"/>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Tabelle35"/>
  <dimension ref="B1:S33"/>
  <sheetViews>
    <sheetView showGridLines="0" workbookViewId="0">
      <selection activeCell="S8" sqref="S8"/>
    </sheetView>
  </sheetViews>
  <sheetFormatPr defaultColWidth="10.875" defaultRowHeight="15" outlineLevelCol="1" x14ac:dyDescent="0.2"/>
  <cols>
    <col min="1" max="1" width="2.875" style="80" customWidth="1"/>
    <col min="2" max="2" width="4.125" style="80" customWidth="1"/>
    <col min="3" max="3" width="9.125" style="80" customWidth="1"/>
    <col min="4" max="4" width="10.875" style="80"/>
    <col min="5" max="5" width="12.375" style="80" customWidth="1"/>
    <col min="6" max="6" width="46.125" style="80" customWidth="1"/>
    <col min="7" max="7" width="17.5" style="80" customWidth="1"/>
    <col min="8" max="9" width="4.125" style="80" customWidth="1"/>
    <col min="10" max="12" width="10.875" style="80"/>
    <col min="13" max="13" width="36" style="80" hidden="1" customWidth="1" outlineLevel="1"/>
    <col min="14" max="14" width="0" style="80" hidden="1" customWidth="1" outlineLevel="1"/>
    <col min="15" max="15" width="21.875" style="80" hidden="1" customWidth="1" outlineLevel="1"/>
    <col min="16" max="16" width="0" style="80" hidden="1" customWidth="1" outlineLevel="1"/>
    <col min="17" max="17" width="10.875" style="80" collapsed="1"/>
    <col min="18" max="16384" width="10.875" style="80"/>
  </cols>
  <sheetData>
    <row r="1" spans="2:19" s="1" customFormat="1" ht="17.100000000000001" customHeight="1" thickBot="1" x14ac:dyDescent="0.25">
      <c r="C1" s="24"/>
      <c r="D1" s="24"/>
      <c r="E1" s="24"/>
      <c r="G1" s="25"/>
      <c r="H1" s="25"/>
      <c r="K1" s="365"/>
      <c r="L1" s="365"/>
      <c r="M1" s="365"/>
      <c r="N1" s="365"/>
      <c r="O1" s="365"/>
      <c r="P1" s="365"/>
      <c r="Q1" s="365"/>
      <c r="R1" s="365"/>
      <c r="S1" s="365"/>
    </row>
    <row r="2" spans="2:19" s="1" customFormat="1" ht="14.1" customHeight="1" thickBot="1" x14ac:dyDescent="0.25">
      <c r="B2" s="182"/>
      <c r="C2" s="183"/>
      <c r="D2" s="183"/>
      <c r="E2" s="183"/>
      <c r="F2" s="184"/>
      <c r="G2" s="184"/>
      <c r="H2" s="185"/>
      <c r="K2" s="366"/>
      <c r="L2" s="365"/>
      <c r="M2" s="367" t="s">
        <v>511</v>
      </c>
      <c r="N2" s="368" t="s">
        <v>494</v>
      </c>
      <c r="O2" s="365"/>
      <c r="P2" s="365"/>
      <c r="Q2" s="365"/>
      <c r="R2" s="365"/>
      <c r="S2" s="365"/>
    </row>
    <row r="3" spans="2:19" s="1" customFormat="1" ht="17.100000000000001" customHeight="1" x14ac:dyDescent="0.2">
      <c r="B3" s="47"/>
      <c r="C3" s="186" t="s">
        <v>377</v>
      </c>
      <c r="D3" s="186"/>
      <c r="E3" s="186"/>
      <c r="F3" s="186"/>
      <c r="G3" s="186"/>
      <c r="H3" s="187"/>
      <c r="K3" s="366"/>
      <c r="L3" s="365"/>
      <c r="M3" s="369"/>
      <c r="N3" s="700">
        <v>0</v>
      </c>
      <c r="O3" s="365"/>
      <c r="P3" s="365" t="s">
        <v>82</v>
      </c>
      <c r="Q3" s="365"/>
      <c r="R3" s="365"/>
      <c r="S3" s="365"/>
    </row>
    <row r="4" spans="2:19" s="1" customFormat="1" ht="17.100000000000001" customHeight="1" thickBot="1" x14ac:dyDescent="0.25">
      <c r="B4" s="188"/>
      <c r="C4" s="189"/>
      <c r="D4" s="189"/>
      <c r="E4" s="189"/>
      <c r="F4" s="189"/>
      <c r="G4" s="189"/>
      <c r="H4" s="190"/>
      <c r="K4" s="366"/>
      <c r="L4" s="365"/>
      <c r="M4" s="370"/>
      <c r="N4" s="701">
        <v>1</v>
      </c>
      <c r="O4" s="365"/>
      <c r="P4" s="365"/>
      <c r="Q4" s="365"/>
      <c r="R4" s="365"/>
      <c r="S4" s="365"/>
    </row>
    <row r="5" spans="2:19" s="1" customFormat="1" ht="14.1" customHeight="1" thickBot="1" x14ac:dyDescent="0.25">
      <c r="K5" s="365"/>
      <c r="L5" s="365"/>
      <c r="M5" s="370"/>
      <c r="N5" s="701">
        <v>2</v>
      </c>
      <c r="O5" s="365"/>
      <c r="P5" s="365"/>
      <c r="Q5" s="365"/>
      <c r="R5" s="365"/>
      <c r="S5" s="365"/>
    </row>
    <row r="6" spans="2:19" s="1" customFormat="1" ht="13.5" thickBot="1" x14ac:dyDescent="0.25">
      <c r="B6" s="182"/>
      <c r="C6" s="184"/>
      <c r="D6" s="184"/>
      <c r="E6" s="184"/>
      <c r="F6" s="11"/>
      <c r="G6" s="11"/>
      <c r="H6" s="20"/>
      <c r="K6" s="365"/>
      <c r="L6" s="365"/>
      <c r="M6" s="370"/>
      <c r="N6" s="701">
        <v>3</v>
      </c>
      <c r="O6" s="365"/>
      <c r="P6" s="365"/>
      <c r="Q6" s="365"/>
      <c r="R6" s="365"/>
      <c r="S6" s="365"/>
    </row>
    <row r="7" spans="2:19" s="179" customFormat="1" ht="35.1" customHeight="1" thickBot="1" x14ac:dyDescent="0.25">
      <c r="B7" s="194"/>
      <c r="C7" s="208" t="s">
        <v>273</v>
      </c>
      <c r="D7" s="868" t="s">
        <v>74</v>
      </c>
      <c r="E7" s="869"/>
      <c r="F7" s="209" t="s">
        <v>493</v>
      </c>
      <c r="G7" s="38"/>
      <c r="H7" s="21"/>
      <c r="K7" s="371"/>
      <c r="L7" s="371"/>
      <c r="M7" s="370"/>
      <c r="N7" s="701">
        <v>4</v>
      </c>
      <c r="O7" s="365"/>
      <c r="P7" s="371"/>
      <c r="Q7" s="371"/>
      <c r="R7" s="371"/>
      <c r="S7" s="371"/>
    </row>
    <row r="8" spans="2:19" ht="33.950000000000003" customHeight="1" thickBot="1" x14ac:dyDescent="0.25">
      <c r="B8" s="197" t="str">
        <f>'Unos podataka'!F14</f>
        <v/>
      </c>
      <c r="C8" s="200" t="str">
        <f>'Unos podataka'!G14</f>
        <v/>
      </c>
      <c r="D8" s="870" t="str">
        <f>IF(B8&lt;&gt;"",'Unos podataka'!H14,"")</f>
        <v/>
      </c>
      <c r="E8" s="867"/>
      <c r="F8" s="703" t="s">
        <v>82</v>
      </c>
      <c r="G8" s="536"/>
      <c r="H8" s="246">
        <f>IF(F8=$P$3,1,0)</f>
        <v>1</v>
      </c>
      <c r="K8" s="372"/>
      <c r="L8" s="372"/>
      <c r="M8" s="370"/>
      <c r="N8" s="701">
        <v>5</v>
      </c>
      <c r="O8" s="365"/>
      <c r="P8" s="372"/>
      <c r="Q8" s="372"/>
      <c r="R8" s="372"/>
      <c r="S8" s="372"/>
    </row>
    <row r="9" spans="2:19" ht="33.950000000000003" customHeight="1" thickBot="1" x14ac:dyDescent="0.25">
      <c r="B9" s="197" t="str">
        <f>'Unos podataka'!F15</f>
        <v/>
      </c>
      <c r="C9" s="200" t="str">
        <f>'Unos podataka'!G15</f>
        <v/>
      </c>
      <c r="D9" s="870" t="str">
        <f>IF(B9&lt;&gt;"",'Unos podataka'!H15,"")</f>
        <v/>
      </c>
      <c r="E9" s="867"/>
      <c r="F9" s="703" t="s">
        <v>82</v>
      </c>
      <c r="G9" s="536"/>
      <c r="H9" s="246">
        <f>IF(F9=$P$3,1,0)</f>
        <v>1</v>
      </c>
      <c r="K9" s="372"/>
      <c r="L9" s="372"/>
      <c r="M9" s="373"/>
      <c r="N9" s="702" t="s">
        <v>82</v>
      </c>
      <c r="O9" s="365"/>
      <c r="P9" s="372"/>
      <c r="Q9" s="372"/>
      <c r="R9" s="372"/>
      <c r="S9" s="372"/>
    </row>
    <row r="10" spans="2:19" ht="33.950000000000003" customHeight="1" thickBot="1" x14ac:dyDescent="0.25">
      <c r="B10" s="197" t="str">
        <f>'Unos podataka'!F16</f>
        <v/>
      </c>
      <c r="C10" s="200" t="str">
        <f>'Unos podataka'!G16</f>
        <v/>
      </c>
      <c r="D10" s="870" t="str">
        <f>IF(B10&lt;&gt;"",'Unos podataka'!H16,"")</f>
        <v/>
      </c>
      <c r="E10" s="867"/>
      <c r="F10" s="703" t="s">
        <v>82</v>
      </c>
      <c r="G10" s="536"/>
      <c r="H10" s="246">
        <f t="shared" ref="H10:H12" si="0">IF(F10=$P$3,1,0)</f>
        <v>1</v>
      </c>
      <c r="K10" s="372"/>
      <c r="L10" s="372"/>
      <c r="M10" s="372"/>
      <c r="N10" s="372"/>
      <c r="O10" s="372"/>
      <c r="P10" s="372"/>
      <c r="Q10" s="372"/>
      <c r="R10" s="372"/>
      <c r="S10" s="372"/>
    </row>
    <row r="11" spans="2:19" ht="33.950000000000003" customHeight="1" thickBot="1" x14ac:dyDescent="0.25">
      <c r="B11" s="197" t="str">
        <f>'Unos podataka'!F17</f>
        <v/>
      </c>
      <c r="C11" s="200" t="str">
        <f>'Unos podataka'!G17</f>
        <v/>
      </c>
      <c r="D11" s="870" t="str">
        <f>IF(B11&lt;&gt;"",'Unos podataka'!H17,"")</f>
        <v/>
      </c>
      <c r="E11" s="867"/>
      <c r="F11" s="703" t="s">
        <v>82</v>
      </c>
      <c r="G11" s="536"/>
      <c r="H11" s="246">
        <f t="shared" si="0"/>
        <v>1</v>
      </c>
      <c r="K11" s="372"/>
      <c r="L11" s="372"/>
      <c r="M11" s="372"/>
      <c r="N11" s="372"/>
      <c r="O11" s="372"/>
      <c r="P11" s="372"/>
      <c r="Q11" s="372"/>
      <c r="R11" s="372"/>
      <c r="S11" s="372"/>
    </row>
    <row r="12" spans="2:19" ht="33.950000000000003" customHeight="1" thickBot="1" x14ac:dyDescent="0.25">
      <c r="B12" s="197" t="str">
        <f>'Unos podataka'!F18</f>
        <v/>
      </c>
      <c r="C12" s="214" t="str">
        <f>'Unos podataka'!G18</f>
        <v/>
      </c>
      <c r="D12" s="870" t="str">
        <f>IF(B12&lt;&gt;"",'Unos podataka'!H18,"")</f>
        <v/>
      </c>
      <c r="E12" s="867"/>
      <c r="F12" s="703" t="s">
        <v>82</v>
      </c>
      <c r="G12" s="536"/>
      <c r="H12" s="246">
        <f t="shared" si="0"/>
        <v>1</v>
      </c>
      <c r="K12" s="372"/>
      <c r="L12" s="372"/>
      <c r="M12" s="372"/>
      <c r="N12" s="372"/>
      <c r="O12" s="372"/>
      <c r="P12" s="372"/>
      <c r="Q12" s="372"/>
      <c r="R12" s="372"/>
      <c r="S12" s="372"/>
    </row>
    <row r="13" spans="2:19" ht="14.1" customHeight="1" thickBot="1" x14ac:dyDescent="0.25">
      <c r="B13" s="204"/>
      <c r="C13" s="51"/>
      <c r="D13" s="51"/>
      <c r="E13" s="51"/>
      <c r="F13" s="51"/>
      <c r="G13" s="51"/>
      <c r="H13" s="205"/>
      <c r="K13" s="372"/>
      <c r="L13" s="372"/>
      <c r="M13" s="372"/>
      <c r="N13" s="372"/>
      <c r="O13" s="372"/>
      <c r="P13" s="372"/>
      <c r="Q13" s="372"/>
      <c r="R13" s="372"/>
      <c r="S13" s="372"/>
    </row>
    <row r="14" spans="2:19" ht="15.75" thickBot="1" x14ac:dyDescent="0.25"/>
    <row r="15" spans="2:19" x14ac:dyDescent="0.2">
      <c r="B15" s="241"/>
      <c r="C15" s="242"/>
      <c r="D15" s="242"/>
      <c r="E15" s="242"/>
      <c r="F15" s="242"/>
      <c r="G15" s="242"/>
      <c r="H15" s="243"/>
    </row>
    <row r="16" spans="2:19" ht="18" x14ac:dyDescent="0.25">
      <c r="B16" s="45"/>
      <c r="C16" s="228" t="s">
        <v>404</v>
      </c>
      <c r="D16" s="46"/>
      <c r="E16" s="46"/>
      <c r="F16" s="46"/>
      <c r="G16" s="46"/>
      <c r="H16" s="49"/>
      <c r="M16" s="201"/>
    </row>
    <row r="17" spans="2:8" ht="15.75" thickBot="1" x14ac:dyDescent="0.25">
      <c r="B17" s="45"/>
      <c r="C17" s="46"/>
      <c r="D17" s="46"/>
      <c r="E17" s="46"/>
      <c r="F17" s="46"/>
      <c r="G17" s="46"/>
      <c r="H17" s="49"/>
    </row>
    <row r="18" spans="2:8" ht="33.950000000000003" customHeight="1" thickBot="1" x14ac:dyDescent="0.25">
      <c r="B18" s="45"/>
      <c r="C18" s="346" t="s">
        <v>379</v>
      </c>
      <c r="D18" s="916" t="s">
        <v>378</v>
      </c>
      <c r="E18" s="916"/>
      <c r="F18" s="916"/>
      <c r="G18" s="917"/>
      <c r="H18" s="244"/>
    </row>
    <row r="19" spans="2:8" ht="16.5" thickBot="1" x14ac:dyDescent="0.25">
      <c r="B19" s="45"/>
      <c r="C19" s="344"/>
      <c r="D19" s="344"/>
      <c r="E19" s="345"/>
      <c r="F19" s="345"/>
      <c r="G19" s="345"/>
      <c r="H19" s="244"/>
    </row>
    <row r="20" spans="2:8" ht="33.950000000000003" customHeight="1" thickBot="1" x14ac:dyDescent="0.25">
      <c r="B20" s="45"/>
      <c r="C20" s="346" t="s">
        <v>380</v>
      </c>
      <c r="D20" s="916" t="s">
        <v>385</v>
      </c>
      <c r="E20" s="916"/>
      <c r="F20" s="916"/>
      <c r="G20" s="917"/>
      <c r="H20" s="244"/>
    </row>
    <row r="21" spans="2:8" ht="16.5" thickBot="1" x14ac:dyDescent="0.25">
      <c r="B21" s="45"/>
      <c r="C21" s="344"/>
      <c r="D21" s="344"/>
      <c r="E21" s="345"/>
      <c r="F21" s="345"/>
      <c r="G21" s="345"/>
      <c r="H21" s="244"/>
    </row>
    <row r="22" spans="2:8" ht="33.950000000000003" customHeight="1" thickBot="1" x14ac:dyDescent="0.25">
      <c r="B22" s="45"/>
      <c r="C22" s="346" t="s">
        <v>381</v>
      </c>
      <c r="D22" s="916" t="s">
        <v>386</v>
      </c>
      <c r="E22" s="916"/>
      <c r="F22" s="916"/>
      <c r="G22" s="917"/>
      <c r="H22" s="244"/>
    </row>
    <row r="23" spans="2:8" ht="16.5" thickBot="1" x14ac:dyDescent="0.25">
      <c r="B23" s="45"/>
      <c r="C23" s="344"/>
      <c r="D23" s="344"/>
      <c r="E23" s="345"/>
      <c r="F23" s="345"/>
      <c r="G23" s="345"/>
      <c r="H23" s="244"/>
    </row>
    <row r="24" spans="2:8" ht="51" customHeight="1" thickBot="1" x14ac:dyDescent="0.25">
      <c r="B24" s="45"/>
      <c r="C24" s="346" t="s">
        <v>382</v>
      </c>
      <c r="D24" s="916" t="s">
        <v>387</v>
      </c>
      <c r="E24" s="916"/>
      <c r="F24" s="916"/>
      <c r="G24" s="917"/>
      <c r="H24" s="244"/>
    </row>
    <row r="25" spans="2:8" ht="16.5" thickBot="1" x14ac:dyDescent="0.25">
      <c r="B25" s="45"/>
      <c r="C25" s="344"/>
      <c r="D25" s="344"/>
      <c r="E25" s="345"/>
      <c r="F25" s="345"/>
      <c r="G25" s="345"/>
      <c r="H25" s="244"/>
    </row>
    <row r="26" spans="2:8" ht="33.950000000000003" customHeight="1" thickBot="1" x14ac:dyDescent="0.25">
      <c r="B26" s="45"/>
      <c r="C26" s="346" t="s">
        <v>383</v>
      </c>
      <c r="D26" s="916" t="s">
        <v>388</v>
      </c>
      <c r="E26" s="916"/>
      <c r="F26" s="916"/>
      <c r="G26" s="917"/>
      <c r="H26" s="244"/>
    </row>
    <row r="27" spans="2:8" ht="16.5" thickBot="1" x14ac:dyDescent="0.25">
      <c r="B27" s="45"/>
      <c r="C27" s="344"/>
      <c r="D27" s="344"/>
      <c r="E27" s="345"/>
      <c r="F27" s="345"/>
      <c r="G27" s="345"/>
      <c r="H27" s="244"/>
    </row>
    <row r="28" spans="2:8" ht="33.950000000000003" customHeight="1" thickBot="1" x14ac:dyDescent="0.25">
      <c r="B28" s="45"/>
      <c r="C28" s="346" t="s">
        <v>384</v>
      </c>
      <c r="D28" s="916" t="s">
        <v>389</v>
      </c>
      <c r="E28" s="916"/>
      <c r="F28" s="916"/>
      <c r="G28" s="917"/>
      <c r="H28" s="244"/>
    </row>
    <row r="29" spans="2:8" ht="15.75" thickBot="1" x14ac:dyDescent="0.25">
      <c r="B29" s="204"/>
      <c r="C29" s="51"/>
      <c r="D29" s="51"/>
      <c r="E29" s="51"/>
      <c r="F29" s="51"/>
      <c r="G29" s="51"/>
      <c r="H29" s="205"/>
    </row>
    <row r="30" spans="2:8" ht="15.75" thickBot="1" x14ac:dyDescent="0.25"/>
    <row r="31" spans="2:8" x14ac:dyDescent="0.2">
      <c r="B31" s="241"/>
      <c r="C31" s="242"/>
      <c r="D31" s="242"/>
      <c r="E31" s="242"/>
      <c r="F31" s="242"/>
      <c r="G31" s="242"/>
      <c r="H31" s="243"/>
    </row>
    <row r="32" spans="2:8" ht="23.25" x14ac:dyDescent="0.35">
      <c r="B32" s="45"/>
      <c r="C32" s="866" t="str">
        <f>IF(C8="","",IF(SUMPRODUCT(B8:B12,H8:H12)&lt;&gt;0,"Ocjena kriterija nije završena!", "Sva vodna tijela su ocijenjena!"))</f>
        <v/>
      </c>
      <c r="D32" s="866"/>
      <c r="E32" s="866"/>
      <c r="F32" s="866"/>
      <c r="G32" s="631">
        <f>IF(C8="",0,IF(SUMPRODUCT(B8:B12,H8:H12)&lt;&gt;0,0,1))</f>
        <v>0</v>
      </c>
      <c r="H32" s="49"/>
    </row>
    <row r="33" spans="2:8" ht="15.75" thickBot="1" x14ac:dyDescent="0.25">
      <c r="B33" s="204"/>
      <c r="C33" s="51"/>
      <c r="D33" s="51"/>
      <c r="E33" s="51"/>
      <c r="F33" s="51"/>
      <c r="G33" s="51"/>
      <c r="H33" s="205"/>
    </row>
  </sheetData>
  <sheetProtection algorithmName="SHA-512" hashValue="WZqeYJv9iEWP+441IAiacfViQFSMOd1MAjJAe07lpFXGjvDFsBQ5b2QTbwWyIvtll1V/mkJtOsnhe5IRrWkLEg==" saltValue="8m+22xtuzGt/IX7GtEYrSA==" spinCount="100000" sheet="1" objects="1" scenarios="1"/>
  <mergeCells count="13">
    <mergeCell ref="D28:G28"/>
    <mergeCell ref="C32:F32"/>
    <mergeCell ref="D18:G18"/>
    <mergeCell ref="D20:G20"/>
    <mergeCell ref="D22:G22"/>
    <mergeCell ref="D24:G24"/>
    <mergeCell ref="D26:G26"/>
    <mergeCell ref="D12:E12"/>
    <mergeCell ref="D7:E7"/>
    <mergeCell ref="D8:E8"/>
    <mergeCell ref="D9:E9"/>
    <mergeCell ref="D10:E10"/>
    <mergeCell ref="D11:E11"/>
  </mergeCells>
  <conditionalFormatting sqref="C8:C12">
    <cfRule type="expression" dxfId="117" priority="31">
      <formula>$C8="n.a."</formula>
    </cfRule>
  </conditionalFormatting>
  <conditionalFormatting sqref="C32 F32">
    <cfRule type="expression" dxfId="116" priority="23">
      <formula>SUMPRODUCT($B$8:$B$12,$H$8:$H$12)=0</formula>
    </cfRule>
  </conditionalFormatting>
  <conditionalFormatting sqref="F8">
    <cfRule type="expression" dxfId="115" priority="13">
      <formula>B8=""</formula>
    </cfRule>
  </conditionalFormatting>
  <conditionalFormatting sqref="F8">
    <cfRule type="expression" dxfId="114" priority="14">
      <formula>F8=$P$3</formula>
    </cfRule>
  </conditionalFormatting>
  <conditionalFormatting sqref="F9">
    <cfRule type="expression" dxfId="113" priority="7">
      <formula>B9=""</formula>
    </cfRule>
  </conditionalFormatting>
  <conditionalFormatting sqref="F9">
    <cfRule type="expression" dxfId="112" priority="8">
      <formula>F9=$P$3</formula>
    </cfRule>
  </conditionalFormatting>
  <conditionalFormatting sqref="F10">
    <cfRule type="expression" dxfId="111" priority="5">
      <formula>B10=""</formula>
    </cfRule>
  </conditionalFormatting>
  <conditionalFormatting sqref="F10">
    <cfRule type="expression" dxfId="110" priority="6">
      <formula>F10=$P$3</formula>
    </cfRule>
  </conditionalFormatting>
  <conditionalFormatting sqref="F11">
    <cfRule type="expression" dxfId="109" priority="3">
      <formula>B11=""</formula>
    </cfRule>
  </conditionalFormatting>
  <conditionalFormatting sqref="F11">
    <cfRule type="expression" dxfId="108" priority="4">
      <formula>F11=$P$3</formula>
    </cfRule>
  </conditionalFormatting>
  <conditionalFormatting sqref="F12">
    <cfRule type="expression" dxfId="107" priority="1">
      <formula>B12=""</formula>
    </cfRule>
  </conditionalFormatting>
  <conditionalFormatting sqref="F12">
    <cfRule type="expression" dxfId="106" priority="2">
      <formula>F12=$P$3</formula>
    </cfRule>
  </conditionalFormatting>
  <dataValidations count="1">
    <dataValidation type="list" allowBlank="1" showInputMessage="1" showErrorMessage="1" error="Wrong input!" prompt="Izaberite " sqref="F8:F12" xr:uid="{00000000-0002-0000-2400-000000000000}">
      <formula1>$N$3:$N$9</formula1>
    </dataValidation>
  </dataValidations>
  <pageMargins left="0.7" right="0.7" top="0.78740157499999996" bottom="0.78740157499999996"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Tabelle36"/>
  <dimension ref="B1:S33"/>
  <sheetViews>
    <sheetView showGridLines="0" workbookViewId="0">
      <selection activeCell="K9" sqref="K9"/>
    </sheetView>
  </sheetViews>
  <sheetFormatPr defaultColWidth="10.875" defaultRowHeight="15" outlineLevelCol="1" x14ac:dyDescent="0.2"/>
  <cols>
    <col min="1" max="1" width="2.875" style="80" customWidth="1"/>
    <col min="2" max="2" width="4.125" style="80" customWidth="1"/>
    <col min="3" max="3" width="9.125" style="80" customWidth="1"/>
    <col min="4" max="4" width="10.875" style="80"/>
    <col min="5" max="5" width="12.375" style="80" customWidth="1"/>
    <col min="6" max="6" width="46.125" style="80" customWidth="1"/>
    <col min="7" max="7" width="17.5" style="80" customWidth="1"/>
    <col min="8" max="9" width="4.125" style="80" customWidth="1"/>
    <col min="10" max="12" width="10.875" style="80"/>
    <col min="13" max="13" width="36" style="80" hidden="1" customWidth="1" outlineLevel="1"/>
    <col min="14" max="14" width="10.875" style="80" hidden="1" customWidth="1" outlineLevel="1"/>
    <col min="15" max="15" width="21.875" style="80" hidden="1" customWidth="1" outlineLevel="1"/>
    <col min="16" max="16" width="10.875" style="80" hidden="1" customWidth="1" outlineLevel="1"/>
    <col min="17" max="17" width="10.875" style="80" collapsed="1"/>
    <col min="18" max="16384" width="10.875" style="80"/>
  </cols>
  <sheetData>
    <row r="1" spans="2:19" s="1" customFormat="1" ht="17.100000000000001" customHeight="1" thickBot="1" x14ac:dyDescent="0.25">
      <c r="C1" s="24"/>
      <c r="D1" s="24"/>
      <c r="E1" s="24"/>
      <c r="G1" s="25"/>
      <c r="H1" s="25"/>
      <c r="K1" s="365"/>
      <c r="L1" s="365"/>
      <c r="M1" s="365"/>
      <c r="N1" s="365"/>
      <c r="O1" s="365"/>
      <c r="P1" s="365"/>
      <c r="Q1" s="365"/>
      <c r="R1" s="365"/>
      <c r="S1" s="365"/>
    </row>
    <row r="2" spans="2:19" s="1" customFormat="1" ht="14.1" customHeight="1" thickBot="1" x14ac:dyDescent="0.25">
      <c r="B2" s="182"/>
      <c r="C2" s="183"/>
      <c r="D2" s="183"/>
      <c r="E2" s="183"/>
      <c r="F2" s="184"/>
      <c r="G2" s="184"/>
      <c r="H2" s="185"/>
      <c r="K2" s="366"/>
      <c r="L2" s="365"/>
      <c r="M2" s="367" t="s">
        <v>511</v>
      </c>
      <c r="N2" s="368" t="s">
        <v>493</v>
      </c>
      <c r="O2" s="365"/>
      <c r="P2" s="365"/>
      <c r="Q2" s="365"/>
      <c r="R2" s="365"/>
      <c r="S2" s="365"/>
    </row>
    <row r="3" spans="2:19" s="1" customFormat="1" ht="17.100000000000001" customHeight="1" x14ac:dyDescent="0.2">
      <c r="B3" s="47"/>
      <c r="C3" s="186" t="s">
        <v>390</v>
      </c>
      <c r="D3" s="186"/>
      <c r="E3" s="186"/>
      <c r="F3" s="186"/>
      <c r="G3" s="186"/>
      <c r="H3" s="187"/>
      <c r="K3" s="366"/>
      <c r="L3" s="365"/>
      <c r="M3" s="369"/>
      <c r="N3" s="700">
        <v>0</v>
      </c>
      <c r="O3" s="365"/>
      <c r="P3" s="365" t="s">
        <v>82</v>
      </c>
      <c r="Q3" s="365"/>
      <c r="R3" s="365"/>
      <c r="S3" s="365"/>
    </row>
    <row r="4" spans="2:19" s="1" customFormat="1" ht="17.100000000000001" customHeight="1" thickBot="1" x14ac:dyDescent="0.25">
      <c r="B4" s="188"/>
      <c r="C4" s="189"/>
      <c r="D4" s="189"/>
      <c r="E4" s="189"/>
      <c r="F4" s="189"/>
      <c r="G4" s="189"/>
      <c r="H4" s="190"/>
      <c r="K4" s="366"/>
      <c r="L4" s="365"/>
      <c r="M4" s="370"/>
      <c r="N4" s="701">
        <v>1</v>
      </c>
      <c r="O4" s="365"/>
      <c r="P4" s="365"/>
      <c r="Q4" s="365"/>
      <c r="R4" s="365"/>
      <c r="S4" s="365"/>
    </row>
    <row r="5" spans="2:19" s="1" customFormat="1" ht="14.1" customHeight="1" thickBot="1" x14ac:dyDescent="0.25">
      <c r="K5" s="365"/>
      <c r="L5" s="365"/>
      <c r="M5" s="370"/>
      <c r="N5" s="701">
        <v>2</v>
      </c>
      <c r="O5" s="365"/>
      <c r="P5" s="365"/>
      <c r="Q5" s="365"/>
      <c r="R5" s="365"/>
      <c r="S5" s="365"/>
    </row>
    <row r="6" spans="2:19" s="1" customFormat="1" ht="13.5" thickBot="1" x14ac:dyDescent="0.25">
      <c r="B6" s="182"/>
      <c r="C6" s="184"/>
      <c r="D6" s="184"/>
      <c r="E6" s="184"/>
      <c r="F6" s="11"/>
      <c r="G6" s="11"/>
      <c r="H6" s="20"/>
      <c r="K6" s="365"/>
      <c r="L6" s="365"/>
      <c r="M6" s="370"/>
      <c r="N6" s="701">
        <v>3</v>
      </c>
      <c r="O6" s="365"/>
      <c r="P6" s="365"/>
      <c r="Q6" s="365"/>
      <c r="R6" s="365"/>
      <c r="S6" s="365"/>
    </row>
    <row r="7" spans="2:19" s="179" customFormat="1" ht="35.1" customHeight="1" thickBot="1" x14ac:dyDescent="0.25">
      <c r="B7" s="541"/>
      <c r="C7" s="208" t="s">
        <v>273</v>
      </c>
      <c r="D7" s="868" t="s">
        <v>74</v>
      </c>
      <c r="E7" s="869"/>
      <c r="F7" s="209" t="s">
        <v>493</v>
      </c>
      <c r="G7" s="536"/>
      <c r="H7" s="540"/>
      <c r="K7" s="371"/>
      <c r="L7" s="371"/>
      <c r="M7" s="370"/>
      <c r="N7" s="701">
        <v>4</v>
      </c>
      <c r="O7" s="365"/>
      <c r="P7" s="371"/>
      <c r="Q7" s="371"/>
      <c r="R7" s="371"/>
      <c r="S7" s="371"/>
    </row>
    <row r="8" spans="2:19" ht="33.950000000000003" customHeight="1" thickBot="1" x14ac:dyDescent="0.25">
      <c r="B8" s="527" t="str">
        <f>'Unos podataka'!F14</f>
        <v/>
      </c>
      <c r="C8" s="200" t="str">
        <f>'Unos podataka'!G14</f>
        <v/>
      </c>
      <c r="D8" s="870" t="str">
        <f>IF(B8&lt;&gt;"",'Unos podataka'!H14,"")</f>
        <v/>
      </c>
      <c r="E8" s="867"/>
      <c r="F8" s="703" t="s">
        <v>82</v>
      </c>
      <c r="G8" s="536"/>
      <c r="H8" s="246">
        <f>IF(F8=$P$3,1,0)</f>
        <v>1</v>
      </c>
      <c r="K8" s="626"/>
      <c r="L8" s="372"/>
      <c r="M8" s="370"/>
      <c r="N8" s="701">
        <v>5</v>
      </c>
      <c r="O8" s="365"/>
      <c r="P8" s="372"/>
      <c r="Q8" s="372"/>
      <c r="R8" s="372"/>
      <c r="S8" s="372"/>
    </row>
    <row r="9" spans="2:19" ht="33.950000000000003" customHeight="1" thickBot="1" x14ac:dyDescent="0.25">
      <c r="B9" s="527" t="str">
        <f>'Unos podataka'!F15</f>
        <v/>
      </c>
      <c r="C9" s="200" t="str">
        <f>'Unos podataka'!G15</f>
        <v/>
      </c>
      <c r="D9" s="870" t="str">
        <f>IF(B9&lt;&gt;"",'Unos podataka'!H15,"")</f>
        <v/>
      </c>
      <c r="E9" s="867"/>
      <c r="F9" s="703" t="s">
        <v>82</v>
      </c>
      <c r="G9" s="536"/>
      <c r="H9" s="246">
        <f>IF(F9=$P$3,1,0)</f>
        <v>1</v>
      </c>
      <c r="K9" s="372"/>
      <c r="L9" s="372"/>
      <c r="M9" s="373"/>
      <c r="N9" s="702" t="s">
        <v>82</v>
      </c>
      <c r="O9" s="365"/>
      <c r="P9" s="372"/>
      <c r="Q9" s="372"/>
      <c r="R9" s="372"/>
      <c r="S9" s="372"/>
    </row>
    <row r="10" spans="2:19" ht="33.950000000000003" customHeight="1" thickBot="1" x14ac:dyDescent="0.25">
      <c r="B10" s="527" t="str">
        <f>'Unos podataka'!F16</f>
        <v/>
      </c>
      <c r="C10" s="200" t="str">
        <f>'Unos podataka'!G16</f>
        <v/>
      </c>
      <c r="D10" s="870" t="str">
        <f>IF(B10&lt;&gt;"",'Unos podataka'!H16,"")</f>
        <v/>
      </c>
      <c r="E10" s="867"/>
      <c r="F10" s="703" t="s">
        <v>82</v>
      </c>
      <c r="G10" s="536"/>
      <c r="H10" s="246">
        <f t="shared" ref="H10:H12" si="0">IF(F10=$P$3,1,0)</f>
        <v>1</v>
      </c>
      <c r="K10" s="372"/>
      <c r="L10" s="372"/>
      <c r="M10" s="372"/>
      <c r="N10" s="372"/>
      <c r="O10" s="372"/>
      <c r="P10" s="372"/>
      <c r="Q10" s="372"/>
      <c r="R10" s="372"/>
      <c r="S10" s="372"/>
    </row>
    <row r="11" spans="2:19" ht="33.950000000000003" customHeight="1" thickBot="1" x14ac:dyDescent="0.25">
      <c r="B11" s="527" t="str">
        <f>'Unos podataka'!F17</f>
        <v/>
      </c>
      <c r="C11" s="200" t="str">
        <f>'Unos podataka'!G17</f>
        <v/>
      </c>
      <c r="D11" s="870" t="str">
        <f>IF(B11&lt;&gt;"",'Unos podataka'!H17,"")</f>
        <v/>
      </c>
      <c r="E11" s="867"/>
      <c r="F11" s="703" t="s">
        <v>82</v>
      </c>
      <c r="G11" s="536"/>
      <c r="H11" s="246">
        <f t="shared" si="0"/>
        <v>1</v>
      </c>
      <c r="K11" s="372"/>
      <c r="L11" s="372"/>
      <c r="M11" s="372"/>
      <c r="N11" s="372"/>
      <c r="O11" s="372"/>
      <c r="P11" s="372"/>
      <c r="Q11" s="372"/>
      <c r="R11" s="372"/>
      <c r="S11" s="372"/>
    </row>
    <row r="12" spans="2:19" ht="33.950000000000003" customHeight="1" thickBot="1" x14ac:dyDescent="0.25">
      <c r="B12" s="527" t="str">
        <f>'Unos podataka'!F18</f>
        <v/>
      </c>
      <c r="C12" s="214" t="str">
        <f>'Unos podataka'!G18</f>
        <v/>
      </c>
      <c r="D12" s="870" t="str">
        <f>IF(B12&lt;&gt;"",'Unos podataka'!H18,"")</f>
        <v/>
      </c>
      <c r="E12" s="867"/>
      <c r="F12" s="703" t="s">
        <v>82</v>
      </c>
      <c r="G12" s="536"/>
      <c r="H12" s="246">
        <f t="shared" si="0"/>
        <v>1</v>
      </c>
      <c r="K12" s="372"/>
      <c r="L12" s="372"/>
      <c r="M12" s="372"/>
      <c r="N12" s="372"/>
      <c r="O12" s="372"/>
      <c r="P12" s="372"/>
      <c r="Q12" s="372"/>
      <c r="R12" s="372"/>
      <c r="S12" s="372"/>
    </row>
    <row r="13" spans="2:19" ht="14.1" customHeight="1" thickBot="1" x14ac:dyDescent="0.25">
      <c r="B13" s="204"/>
      <c r="C13" s="51"/>
      <c r="D13" s="51"/>
      <c r="E13" s="51"/>
      <c r="F13" s="51"/>
      <c r="G13" s="51"/>
      <c r="H13" s="205"/>
      <c r="K13" s="372"/>
      <c r="L13" s="372"/>
      <c r="M13" s="372"/>
      <c r="N13" s="372"/>
      <c r="O13" s="372"/>
      <c r="P13" s="372"/>
      <c r="Q13" s="372"/>
      <c r="R13" s="372"/>
      <c r="S13" s="372"/>
    </row>
    <row r="14" spans="2:19" ht="15.75" thickBot="1" x14ac:dyDescent="0.25"/>
    <row r="15" spans="2:19" x14ac:dyDescent="0.2">
      <c r="B15" s="241"/>
      <c r="C15" s="242"/>
      <c r="D15" s="242"/>
      <c r="E15" s="242"/>
      <c r="F15" s="242"/>
      <c r="G15" s="242"/>
      <c r="H15" s="243"/>
    </row>
    <row r="16" spans="2:19" ht="18" x14ac:dyDescent="0.25">
      <c r="B16" s="45"/>
      <c r="C16" s="228" t="s">
        <v>404</v>
      </c>
      <c r="D16" s="46"/>
      <c r="E16" s="46"/>
      <c r="F16" s="46"/>
      <c r="G16" s="46"/>
      <c r="H16" s="49"/>
      <c r="M16" s="201"/>
    </row>
    <row r="17" spans="2:8" ht="15.75" thickBot="1" x14ac:dyDescent="0.25">
      <c r="B17" s="45"/>
      <c r="C17" s="46"/>
      <c r="D17" s="46"/>
      <c r="E17" s="46"/>
      <c r="F17" s="46"/>
      <c r="G17" s="46"/>
      <c r="H17" s="49"/>
    </row>
    <row r="18" spans="2:8" ht="68.099999999999994" customHeight="1" thickBot="1" x14ac:dyDescent="0.25">
      <c r="B18" s="45"/>
      <c r="C18" s="346" t="s">
        <v>379</v>
      </c>
      <c r="D18" s="916" t="s">
        <v>391</v>
      </c>
      <c r="E18" s="916"/>
      <c r="F18" s="916"/>
      <c r="G18" s="917"/>
      <c r="H18" s="244"/>
    </row>
    <row r="19" spans="2:8" ht="16.5" thickBot="1" x14ac:dyDescent="0.25">
      <c r="B19" s="45"/>
      <c r="C19" s="344"/>
      <c r="D19" s="344"/>
      <c r="E19" s="345"/>
      <c r="F19" s="345"/>
      <c r="G19" s="345"/>
      <c r="H19" s="244"/>
    </row>
    <row r="20" spans="2:8" ht="68.099999999999994" customHeight="1" thickBot="1" x14ac:dyDescent="0.25">
      <c r="B20" s="45"/>
      <c r="C20" s="346" t="s">
        <v>380</v>
      </c>
      <c r="D20" s="916" t="s">
        <v>392</v>
      </c>
      <c r="E20" s="916"/>
      <c r="F20" s="916"/>
      <c r="G20" s="917"/>
      <c r="H20" s="244"/>
    </row>
    <row r="21" spans="2:8" ht="16.5" thickBot="1" x14ac:dyDescent="0.25">
      <c r="B21" s="45"/>
      <c r="C21" s="344"/>
      <c r="D21" s="344"/>
      <c r="E21" s="345"/>
      <c r="F21" s="345"/>
      <c r="G21" s="345"/>
      <c r="H21" s="244"/>
    </row>
    <row r="22" spans="2:8" ht="51" customHeight="1" thickBot="1" x14ac:dyDescent="0.25">
      <c r="B22" s="45"/>
      <c r="C22" s="346" t="s">
        <v>381</v>
      </c>
      <c r="D22" s="916" t="s">
        <v>393</v>
      </c>
      <c r="E22" s="916"/>
      <c r="F22" s="916"/>
      <c r="G22" s="917"/>
      <c r="H22" s="244"/>
    </row>
    <row r="23" spans="2:8" ht="16.5" thickBot="1" x14ac:dyDescent="0.25">
      <c r="B23" s="45"/>
      <c r="C23" s="344"/>
      <c r="D23" s="344"/>
      <c r="E23" s="345"/>
      <c r="F23" s="345"/>
      <c r="G23" s="345"/>
      <c r="H23" s="244"/>
    </row>
    <row r="24" spans="2:8" ht="51" customHeight="1" thickBot="1" x14ac:dyDescent="0.25">
      <c r="B24" s="45"/>
      <c r="C24" s="346" t="s">
        <v>382</v>
      </c>
      <c r="D24" s="916" t="s">
        <v>394</v>
      </c>
      <c r="E24" s="916"/>
      <c r="F24" s="916"/>
      <c r="G24" s="917"/>
      <c r="H24" s="244"/>
    </row>
    <row r="25" spans="2:8" ht="16.5" thickBot="1" x14ac:dyDescent="0.25">
      <c r="B25" s="45"/>
      <c r="C25" s="344"/>
      <c r="D25" s="344"/>
      <c r="E25" s="345"/>
      <c r="F25" s="345"/>
      <c r="G25" s="345"/>
      <c r="H25" s="244"/>
    </row>
    <row r="26" spans="2:8" ht="51" customHeight="1" thickBot="1" x14ac:dyDescent="0.25">
      <c r="B26" s="45"/>
      <c r="C26" s="346" t="s">
        <v>383</v>
      </c>
      <c r="D26" s="916" t="s">
        <v>395</v>
      </c>
      <c r="E26" s="916"/>
      <c r="F26" s="916"/>
      <c r="G26" s="917"/>
      <c r="H26" s="244"/>
    </row>
    <row r="27" spans="2:8" ht="16.5" thickBot="1" x14ac:dyDescent="0.25">
      <c r="B27" s="45"/>
      <c r="C27" s="344"/>
      <c r="D27" s="344"/>
      <c r="E27" s="345"/>
      <c r="F27" s="345"/>
      <c r="G27" s="345"/>
      <c r="H27" s="244"/>
    </row>
    <row r="28" spans="2:8" ht="51" customHeight="1" thickBot="1" x14ac:dyDescent="0.25">
      <c r="B28" s="45"/>
      <c r="C28" s="346" t="s">
        <v>384</v>
      </c>
      <c r="D28" s="916" t="s">
        <v>396</v>
      </c>
      <c r="E28" s="916"/>
      <c r="F28" s="916"/>
      <c r="G28" s="917"/>
      <c r="H28" s="244"/>
    </row>
    <row r="29" spans="2:8" ht="15.75" thickBot="1" x14ac:dyDescent="0.25">
      <c r="B29" s="204"/>
      <c r="C29" s="51"/>
      <c r="D29" s="51"/>
      <c r="E29" s="51"/>
      <c r="F29" s="51"/>
      <c r="G29" s="51"/>
      <c r="H29" s="205"/>
    </row>
    <row r="30" spans="2:8" ht="15.75" thickBot="1" x14ac:dyDescent="0.25"/>
    <row r="31" spans="2:8" x14ac:dyDescent="0.2">
      <c r="B31" s="241"/>
      <c r="C31" s="242"/>
      <c r="D31" s="242"/>
      <c r="E31" s="242"/>
      <c r="F31" s="242"/>
      <c r="G31" s="242"/>
      <c r="H31" s="243"/>
    </row>
    <row r="32" spans="2:8" ht="23.25" x14ac:dyDescent="0.35">
      <c r="B32" s="45"/>
      <c r="C32" s="866" t="str">
        <f>IF(C8="","",IF(SUMPRODUCT(B8:B12,H8:H12)&lt;&gt;0,"Ocjena kriterija nije završena!", "Sva vodna tijela su ocijenjena!"))</f>
        <v/>
      </c>
      <c r="D32" s="866"/>
      <c r="E32" s="866"/>
      <c r="F32" s="866"/>
      <c r="G32" s="631">
        <f>IF(C8="",0,IF(SUMPRODUCT(B8:B12,H8:H12)&lt;&gt;0,0,1))</f>
        <v>0</v>
      </c>
      <c r="H32" s="49"/>
    </row>
    <row r="33" spans="2:8" ht="15.75" thickBot="1" x14ac:dyDescent="0.25">
      <c r="B33" s="204"/>
      <c r="C33" s="51"/>
      <c r="D33" s="51"/>
      <c r="E33" s="51"/>
      <c r="F33" s="51"/>
      <c r="G33" s="51"/>
      <c r="H33" s="205"/>
    </row>
  </sheetData>
  <sheetProtection algorithmName="SHA-512" hashValue="6DHCkHoA/sFb2b0IE5EDAhQ1NX6Hy6b5tZ4MHEa1/A9/KbqbMGC+rPle4yfrC0HzCHXc0ZhJJi++pL3B5Kzpzw==" saltValue="6NFN3fdRw5fgN2lU7hxN0A==" spinCount="100000" sheet="1" objects="1" scenarios="1"/>
  <mergeCells count="13">
    <mergeCell ref="D28:G28"/>
    <mergeCell ref="C32:F32"/>
    <mergeCell ref="D18:G18"/>
    <mergeCell ref="D20:G20"/>
    <mergeCell ref="D22:G22"/>
    <mergeCell ref="D24:G24"/>
    <mergeCell ref="D26:G26"/>
    <mergeCell ref="D12:E12"/>
    <mergeCell ref="D7:E7"/>
    <mergeCell ref="D8:E8"/>
    <mergeCell ref="D9:E9"/>
    <mergeCell ref="D10:E10"/>
    <mergeCell ref="D11:E11"/>
  </mergeCells>
  <conditionalFormatting sqref="C8:C12">
    <cfRule type="expression" dxfId="105" priority="15">
      <formula>$C8="n.a."</formula>
    </cfRule>
  </conditionalFormatting>
  <conditionalFormatting sqref="C32 F32">
    <cfRule type="expression" dxfId="104" priority="13">
      <formula>SUMPRODUCT($B$8:$B$12,$H$8:$H$12)=0</formula>
    </cfRule>
  </conditionalFormatting>
  <conditionalFormatting sqref="F8">
    <cfRule type="expression" dxfId="103" priority="11">
      <formula>B8=""</formula>
    </cfRule>
  </conditionalFormatting>
  <conditionalFormatting sqref="F8">
    <cfRule type="expression" dxfId="102" priority="12">
      <formula>F8=$P$3</formula>
    </cfRule>
  </conditionalFormatting>
  <conditionalFormatting sqref="F9">
    <cfRule type="expression" dxfId="101" priority="7">
      <formula>B9=""</formula>
    </cfRule>
  </conditionalFormatting>
  <conditionalFormatting sqref="F9">
    <cfRule type="expression" dxfId="100" priority="8">
      <formula>F9=$P$3</formula>
    </cfRule>
  </conditionalFormatting>
  <conditionalFormatting sqref="F10">
    <cfRule type="expression" dxfId="99" priority="5">
      <formula>B10=""</formula>
    </cfRule>
  </conditionalFormatting>
  <conditionalFormatting sqref="F10">
    <cfRule type="expression" dxfId="98" priority="6">
      <formula>F10=$P$3</formula>
    </cfRule>
  </conditionalFormatting>
  <conditionalFormatting sqref="F11">
    <cfRule type="expression" dxfId="97" priority="3">
      <formula>B11=""</formula>
    </cfRule>
  </conditionalFormatting>
  <conditionalFormatting sqref="F11">
    <cfRule type="expression" dxfId="96" priority="4">
      <formula>F11=$P$3</formula>
    </cfRule>
  </conditionalFormatting>
  <conditionalFormatting sqref="F12">
    <cfRule type="expression" dxfId="95" priority="1">
      <formula>B12=""</formula>
    </cfRule>
  </conditionalFormatting>
  <conditionalFormatting sqref="F12">
    <cfRule type="expression" dxfId="94" priority="2">
      <formula>F12=$P$3</formula>
    </cfRule>
  </conditionalFormatting>
  <dataValidations count="1">
    <dataValidation type="list" allowBlank="1" showInputMessage="1" showErrorMessage="1" error="Wrong input!" prompt="Izaberite " sqref="F8:F12" xr:uid="{00000000-0002-0000-2500-000000000000}">
      <formula1>$N$3:$N$9</formula1>
    </dataValidation>
  </dataValidations>
  <pageMargins left="0.7" right="0.7" top="0.78740157499999996" bottom="0.78740157499999996" header="0.3" footer="0.3"/>
  <pageSetup paperSize="9"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codeName="Tabelle37"/>
  <dimension ref="B1:S33"/>
  <sheetViews>
    <sheetView showGridLines="0" workbookViewId="0">
      <selection activeCell="K11" sqref="K11"/>
    </sheetView>
  </sheetViews>
  <sheetFormatPr defaultColWidth="10.875" defaultRowHeight="15" outlineLevelCol="1" x14ac:dyDescent="0.2"/>
  <cols>
    <col min="1" max="1" width="2.875" style="80" customWidth="1"/>
    <col min="2" max="2" width="4.125" style="80" customWidth="1"/>
    <col min="3" max="3" width="9.125" style="80" customWidth="1"/>
    <col min="4" max="4" width="10.875" style="80"/>
    <col min="5" max="5" width="12.375" style="80" customWidth="1"/>
    <col min="6" max="6" width="46.125" style="80" customWidth="1"/>
    <col min="7" max="7" width="17.5" style="80" customWidth="1"/>
    <col min="8" max="9" width="4.125" style="80" customWidth="1"/>
    <col min="10" max="12" width="10.875" style="80"/>
    <col min="13" max="13" width="36" style="80" hidden="1" customWidth="1" outlineLevel="1"/>
    <col min="14" max="14" width="0" style="80" hidden="1" customWidth="1" outlineLevel="1"/>
    <col min="15" max="15" width="21.875" style="80" hidden="1" customWidth="1" outlineLevel="1"/>
    <col min="16" max="16" width="0" style="80" hidden="1" customWidth="1" outlineLevel="1"/>
    <col min="17" max="17" width="10.875" style="80" collapsed="1"/>
    <col min="18" max="16384" width="10.875" style="80"/>
  </cols>
  <sheetData>
    <row r="1" spans="2:19" s="1" customFormat="1" ht="17.100000000000001" customHeight="1" thickBot="1" x14ac:dyDescent="0.25">
      <c r="C1" s="24"/>
      <c r="D1" s="24"/>
      <c r="E1" s="24"/>
      <c r="G1" s="25"/>
      <c r="H1" s="25"/>
      <c r="K1" s="365"/>
      <c r="L1" s="365"/>
      <c r="M1" s="365"/>
      <c r="N1" s="365"/>
      <c r="O1" s="365"/>
      <c r="P1" s="365"/>
      <c r="Q1" s="365"/>
      <c r="R1" s="365"/>
      <c r="S1" s="365"/>
    </row>
    <row r="2" spans="2:19" s="1" customFormat="1" ht="14.1" customHeight="1" thickBot="1" x14ac:dyDescent="0.25">
      <c r="B2" s="182"/>
      <c r="C2" s="183"/>
      <c r="D2" s="183"/>
      <c r="E2" s="183"/>
      <c r="F2" s="184"/>
      <c r="G2" s="184"/>
      <c r="H2" s="185"/>
      <c r="K2" s="366"/>
      <c r="L2" s="365"/>
      <c r="M2" s="367" t="s">
        <v>511</v>
      </c>
      <c r="N2" s="368"/>
      <c r="O2" s="365"/>
      <c r="P2" s="365"/>
      <c r="Q2" s="365"/>
      <c r="R2" s="365"/>
      <c r="S2" s="365"/>
    </row>
    <row r="3" spans="2:19" s="1" customFormat="1" ht="17.100000000000001" customHeight="1" x14ac:dyDescent="0.2">
      <c r="B3" s="47"/>
      <c r="C3" s="186" t="s">
        <v>397</v>
      </c>
      <c r="D3" s="186"/>
      <c r="E3" s="186"/>
      <c r="F3" s="186"/>
      <c r="G3" s="186"/>
      <c r="H3" s="187"/>
      <c r="K3" s="366"/>
      <c r="L3" s="365"/>
      <c r="M3" s="370"/>
      <c r="N3" s="700">
        <v>1</v>
      </c>
      <c r="O3" s="365"/>
      <c r="P3" s="365" t="s">
        <v>82</v>
      </c>
      <c r="Q3" s="365"/>
      <c r="R3" s="365"/>
      <c r="S3" s="365"/>
    </row>
    <row r="4" spans="2:19" s="1" customFormat="1" ht="17.100000000000001" customHeight="1" thickBot="1" x14ac:dyDescent="0.25">
      <c r="B4" s="188"/>
      <c r="C4" s="189"/>
      <c r="D4" s="189"/>
      <c r="E4" s="189"/>
      <c r="F4" s="189"/>
      <c r="G4" s="189"/>
      <c r="H4" s="190"/>
      <c r="K4" s="366"/>
      <c r="L4" s="365"/>
      <c r="M4" s="370"/>
      <c r="N4" s="701">
        <v>2</v>
      </c>
      <c r="O4" s="365"/>
      <c r="P4" s="365"/>
      <c r="Q4" s="365"/>
      <c r="R4" s="365"/>
      <c r="S4" s="365"/>
    </row>
    <row r="5" spans="2:19" s="1" customFormat="1" ht="14.1" customHeight="1" thickBot="1" x14ac:dyDescent="0.25">
      <c r="K5" s="365"/>
      <c r="L5" s="365"/>
      <c r="M5" s="370"/>
      <c r="N5" s="701">
        <v>3</v>
      </c>
      <c r="O5" s="365"/>
      <c r="P5" s="365"/>
      <c r="Q5" s="365"/>
      <c r="R5" s="365"/>
      <c r="S5" s="365"/>
    </row>
    <row r="6" spans="2:19" s="1" customFormat="1" ht="13.5" thickBot="1" x14ac:dyDescent="0.25">
      <c r="B6" s="182"/>
      <c r="C6" s="184"/>
      <c r="D6" s="184"/>
      <c r="E6" s="184"/>
      <c r="F6" s="11"/>
      <c r="G6" s="11"/>
      <c r="H6" s="20"/>
      <c r="K6" s="365"/>
      <c r="L6" s="365"/>
      <c r="M6" s="370"/>
      <c r="N6" s="701">
        <v>4</v>
      </c>
      <c r="O6" s="365"/>
      <c r="P6" s="365"/>
      <c r="Q6" s="365"/>
      <c r="R6" s="365"/>
      <c r="S6" s="365"/>
    </row>
    <row r="7" spans="2:19" s="179" customFormat="1" ht="35.1" customHeight="1" thickBot="1" x14ac:dyDescent="0.25">
      <c r="B7" s="194"/>
      <c r="C7" s="208" t="s">
        <v>273</v>
      </c>
      <c r="D7" s="868" t="s">
        <v>398</v>
      </c>
      <c r="E7" s="869"/>
      <c r="F7" s="209" t="s">
        <v>493</v>
      </c>
      <c r="G7" s="38"/>
      <c r="H7" s="21"/>
      <c r="K7" s="371"/>
      <c r="L7" s="371"/>
      <c r="M7" s="537"/>
      <c r="N7" s="701">
        <v>5</v>
      </c>
      <c r="O7" s="365"/>
      <c r="P7" s="371"/>
      <c r="Q7" s="371"/>
      <c r="R7" s="371"/>
      <c r="S7" s="371"/>
    </row>
    <row r="8" spans="2:19" ht="33.950000000000003" customHeight="1" thickBot="1" x14ac:dyDescent="0.25">
      <c r="B8" s="197" t="str">
        <f>'Unos podataka'!F14</f>
        <v/>
      </c>
      <c r="C8" s="200" t="str">
        <f>'Unos podataka'!G14</f>
        <v/>
      </c>
      <c r="D8" s="870" t="str">
        <f>IF(B8&lt;&gt;"",'Unos podataka'!H14,"")</f>
        <v/>
      </c>
      <c r="E8" s="867"/>
      <c r="F8" s="703" t="s">
        <v>82</v>
      </c>
      <c r="G8" s="38"/>
      <c r="H8" s="246">
        <f>IF(F8=$P$3,1,0)</f>
        <v>1</v>
      </c>
      <c r="J8" s="179"/>
      <c r="K8" s="371"/>
      <c r="L8" s="372"/>
      <c r="M8" s="538"/>
      <c r="N8" s="539" t="s">
        <v>82</v>
      </c>
      <c r="O8" s="365"/>
      <c r="P8" s="372"/>
      <c r="Q8" s="372"/>
      <c r="R8" s="372"/>
      <c r="S8" s="372"/>
    </row>
    <row r="9" spans="2:19" ht="33.950000000000003" customHeight="1" thickBot="1" x14ac:dyDescent="0.25">
      <c r="B9" s="197" t="str">
        <f>'Unos podataka'!F15</f>
        <v/>
      </c>
      <c r="C9" s="200" t="str">
        <f>'Unos podataka'!G15</f>
        <v/>
      </c>
      <c r="D9" s="870" t="str">
        <f>IF(B9&lt;&gt;"",'Unos podataka'!H15,"")</f>
        <v/>
      </c>
      <c r="E9" s="867"/>
      <c r="F9" s="703" t="s">
        <v>82</v>
      </c>
      <c r="G9" s="38"/>
      <c r="H9" s="246">
        <f>IF(F9=$P$3,1,0)</f>
        <v>1</v>
      </c>
      <c r="J9" s="179"/>
      <c r="K9" s="371"/>
      <c r="L9" s="372"/>
      <c r="M9" s="372"/>
      <c r="N9" s="372"/>
      <c r="O9" s="365"/>
      <c r="P9" s="372"/>
      <c r="Q9" s="372"/>
      <c r="R9" s="372"/>
      <c r="S9" s="372"/>
    </row>
    <row r="10" spans="2:19" ht="33.950000000000003" customHeight="1" thickBot="1" x14ac:dyDescent="0.25">
      <c r="B10" s="197" t="str">
        <f>'Unos podataka'!F16</f>
        <v/>
      </c>
      <c r="C10" s="200" t="str">
        <f>'Unos podataka'!G16</f>
        <v/>
      </c>
      <c r="D10" s="870" t="str">
        <f>IF(B10&lt;&gt;"",'Unos podataka'!H16,"")</f>
        <v/>
      </c>
      <c r="E10" s="867"/>
      <c r="F10" s="703" t="s">
        <v>82</v>
      </c>
      <c r="G10" s="38"/>
      <c r="H10" s="246">
        <f t="shared" ref="H10:H12" si="0">IF(F10=$P$3,1,0)</f>
        <v>1</v>
      </c>
      <c r="J10" s="179"/>
      <c r="K10" s="371"/>
      <c r="L10" s="372"/>
      <c r="M10" s="372"/>
      <c r="N10" s="372"/>
      <c r="O10" s="372"/>
      <c r="P10" s="372"/>
      <c r="Q10" s="372"/>
      <c r="R10" s="372"/>
      <c r="S10" s="372"/>
    </row>
    <row r="11" spans="2:19" ht="33.950000000000003" customHeight="1" thickBot="1" x14ac:dyDescent="0.25">
      <c r="B11" s="197" t="str">
        <f>'Unos podataka'!F17</f>
        <v/>
      </c>
      <c r="C11" s="200" t="str">
        <f>'Unos podataka'!G17</f>
        <v/>
      </c>
      <c r="D11" s="870" t="str">
        <f>IF(B11&lt;&gt;"",'Unos podataka'!H17,"")</f>
        <v/>
      </c>
      <c r="E11" s="867"/>
      <c r="F11" s="703" t="s">
        <v>82</v>
      </c>
      <c r="G11" s="38"/>
      <c r="H11" s="246">
        <f t="shared" si="0"/>
        <v>1</v>
      </c>
      <c r="J11" s="179"/>
      <c r="K11" s="371"/>
      <c r="L11" s="372"/>
      <c r="M11" s="372"/>
      <c r="N11" s="372"/>
      <c r="O11" s="372"/>
      <c r="P11" s="372"/>
      <c r="Q11" s="372"/>
      <c r="R11" s="372"/>
      <c r="S11" s="372"/>
    </row>
    <row r="12" spans="2:19" ht="33.950000000000003" customHeight="1" thickBot="1" x14ac:dyDescent="0.25">
      <c r="B12" s="197" t="str">
        <f>'Unos podataka'!F18</f>
        <v/>
      </c>
      <c r="C12" s="214" t="str">
        <f>'Unos podataka'!G18</f>
        <v/>
      </c>
      <c r="D12" s="870" t="str">
        <f>IF(B12&lt;&gt;"",'Unos podataka'!H18,"")</f>
        <v/>
      </c>
      <c r="E12" s="867"/>
      <c r="F12" s="703" t="s">
        <v>82</v>
      </c>
      <c r="G12" s="38"/>
      <c r="H12" s="246">
        <f t="shared" si="0"/>
        <v>1</v>
      </c>
      <c r="J12" s="179"/>
      <c r="K12" s="371"/>
      <c r="L12" s="372"/>
      <c r="M12" s="372"/>
      <c r="N12" s="372"/>
      <c r="O12" s="372"/>
      <c r="P12" s="372"/>
      <c r="Q12" s="372"/>
      <c r="R12" s="372"/>
      <c r="S12" s="372"/>
    </row>
    <row r="13" spans="2:19" ht="14.1" customHeight="1" thickBot="1" x14ac:dyDescent="0.25">
      <c r="B13" s="204"/>
      <c r="C13" s="51"/>
      <c r="D13" s="51"/>
      <c r="E13" s="51"/>
      <c r="F13" s="51"/>
      <c r="G13" s="51"/>
      <c r="H13" s="205"/>
      <c r="K13" s="372"/>
      <c r="L13" s="372"/>
      <c r="O13" s="372"/>
      <c r="P13" s="372"/>
      <c r="Q13" s="372"/>
      <c r="R13" s="372"/>
      <c r="S13" s="372"/>
    </row>
    <row r="14" spans="2:19" ht="15.75" thickBot="1" x14ac:dyDescent="0.25"/>
    <row r="15" spans="2:19" ht="15.75" x14ac:dyDescent="0.25">
      <c r="B15" s="241"/>
      <c r="C15" s="242"/>
      <c r="D15" s="242"/>
      <c r="E15" s="242"/>
      <c r="F15" s="242"/>
      <c r="G15" s="242"/>
      <c r="H15" s="243"/>
      <c r="M15" s="201"/>
    </row>
    <row r="16" spans="2:19" ht="18" x14ac:dyDescent="0.2">
      <c r="B16" s="45"/>
      <c r="C16" s="228" t="s">
        <v>404</v>
      </c>
      <c r="D16" s="46"/>
      <c r="E16" s="46"/>
      <c r="F16" s="46"/>
      <c r="G16" s="46"/>
      <c r="H16" s="49"/>
    </row>
    <row r="17" spans="2:8" ht="15.75" thickBot="1" x14ac:dyDescent="0.25">
      <c r="B17" s="45"/>
      <c r="C17" s="46"/>
      <c r="D17" s="46"/>
      <c r="E17" s="46"/>
      <c r="F17" s="46"/>
      <c r="G17" s="46"/>
      <c r="H17" s="49"/>
    </row>
    <row r="18" spans="2:8" ht="17.100000000000001" customHeight="1" thickBot="1" x14ac:dyDescent="0.25">
      <c r="B18" s="45"/>
      <c r="C18" s="346" t="s">
        <v>379</v>
      </c>
      <c r="D18" s="916" t="s">
        <v>212</v>
      </c>
      <c r="E18" s="916"/>
      <c r="F18" s="916"/>
      <c r="G18" s="917"/>
      <c r="H18" s="244"/>
    </row>
    <row r="19" spans="2:8" ht="16.5" thickBot="1" x14ac:dyDescent="0.25">
      <c r="B19" s="45"/>
      <c r="C19" s="344"/>
      <c r="D19" s="344"/>
      <c r="E19" s="345"/>
      <c r="F19" s="345"/>
      <c r="G19" s="345"/>
      <c r="H19" s="244"/>
    </row>
    <row r="20" spans="2:8" ht="51" customHeight="1" thickBot="1" x14ac:dyDescent="0.25">
      <c r="B20" s="45"/>
      <c r="C20" s="346" t="s">
        <v>380</v>
      </c>
      <c r="D20" s="916" t="s">
        <v>399</v>
      </c>
      <c r="E20" s="916"/>
      <c r="F20" s="916"/>
      <c r="G20" s="917"/>
      <c r="H20" s="244"/>
    </row>
    <row r="21" spans="2:8" ht="16.5" thickBot="1" x14ac:dyDescent="0.25">
      <c r="B21" s="45"/>
      <c r="C21" s="344"/>
      <c r="D21" s="344"/>
      <c r="E21" s="345"/>
      <c r="F21" s="345"/>
      <c r="G21" s="345"/>
      <c r="H21" s="244"/>
    </row>
    <row r="22" spans="2:8" ht="51" customHeight="1" thickBot="1" x14ac:dyDescent="0.25">
      <c r="B22" s="45"/>
      <c r="C22" s="346" t="s">
        <v>381</v>
      </c>
      <c r="D22" s="916" t="s">
        <v>400</v>
      </c>
      <c r="E22" s="916"/>
      <c r="F22" s="916"/>
      <c r="G22" s="917"/>
      <c r="H22" s="244"/>
    </row>
    <row r="23" spans="2:8" ht="16.5" thickBot="1" x14ac:dyDescent="0.25">
      <c r="B23" s="45"/>
      <c r="C23" s="344"/>
      <c r="D23" s="344"/>
      <c r="E23" s="345"/>
      <c r="F23" s="345"/>
      <c r="G23" s="345"/>
      <c r="H23" s="244"/>
    </row>
    <row r="24" spans="2:8" ht="51" customHeight="1" thickBot="1" x14ac:dyDescent="0.25">
      <c r="B24" s="45"/>
      <c r="C24" s="346" t="s">
        <v>382</v>
      </c>
      <c r="D24" s="916" t="s">
        <v>401</v>
      </c>
      <c r="E24" s="916"/>
      <c r="F24" s="916"/>
      <c r="G24" s="917"/>
      <c r="H24" s="244"/>
    </row>
    <row r="25" spans="2:8" ht="16.5" thickBot="1" x14ac:dyDescent="0.25">
      <c r="B25" s="45"/>
      <c r="C25" s="344"/>
      <c r="D25" s="344"/>
      <c r="E25" s="345"/>
      <c r="F25" s="345"/>
      <c r="G25" s="345"/>
      <c r="H25" s="244"/>
    </row>
    <row r="26" spans="2:8" ht="51" customHeight="1" thickBot="1" x14ac:dyDescent="0.25">
      <c r="B26" s="45"/>
      <c r="C26" s="346" t="s">
        <v>383</v>
      </c>
      <c r="D26" s="916" t="s">
        <v>402</v>
      </c>
      <c r="E26" s="916"/>
      <c r="F26" s="916"/>
      <c r="G26" s="917"/>
      <c r="H26" s="244"/>
    </row>
    <row r="27" spans="2:8" ht="16.5" thickBot="1" x14ac:dyDescent="0.25">
      <c r="B27" s="45"/>
      <c r="C27" s="344"/>
      <c r="D27" s="344"/>
      <c r="E27" s="345"/>
      <c r="F27" s="345"/>
      <c r="G27" s="345"/>
      <c r="H27" s="244"/>
    </row>
    <row r="28" spans="2:8" ht="51" customHeight="1" thickBot="1" x14ac:dyDescent="0.25">
      <c r="B28" s="45"/>
      <c r="C28" s="346" t="s">
        <v>384</v>
      </c>
      <c r="D28" s="916" t="s">
        <v>403</v>
      </c>
      <c r="E28" s="916"/>
      <c r="F28" s="916"/>
      <c r="G28" s="917"/>
      <c r="H28" s="244"/>
    </row>
    <row r="29" spans="2:8" ht="15.75" thickBot="1" x14ac:dyDescent="0.25">
      <c r="B29" s="204"/>
      <c r="C29" s="51"/>
      <c r="D29" s="51"/>
      <c r="E29" s="51"/>
      <c r="F29" s="51"/>
      <c r="G29" s="51"/>
      <c r="H29" s="205"/>
    </row>
    <row r="30" spans="2:8" ht="15.75" thickBot="1" x14ac:dyDescent="0.25"/>
    <row r="31" spans="2:8" x14ac:dyDescent="0.2">
      <c r="B31" s="241"/>
      <c r="C31" s="242"/>
      <c r="D31" s="242"/>
      <c r="E31" s="242"/>
      <c r="F31" s="242"/>
      <c r="G31" s="242"/>
      <c r="H31" s="243"/>
    </row>
    <row r="32" spans="2:8" ht="23.25" x14ac:dyDescent="0.35">
      <c r="B32" s="45"/>
      <c r="C32" s="866" t="str">
        <f>IF(C8="","",IF(SUMPRODUCT(B8:B12,H8:H12)&lt;&gt;0,"Ocjena kriterija nije završena!", "Sva vodna tijela su ocijenjena!"))</f>
        <v/>
      </c>
      <c r="D32" s="866"/>
      <c r="E32" s="866"/>
      <c r="F32" s="866"/>
      <c r="G32" s="631">
        <f>IF(C8="",0,IF(SUMPRODUCT(B8:B12,H8:H12)&lt;&gt;0,0,1))</f>
        <v>0</v>
      </c>
      <c r="H32" s="49"/>
    </row>
    <row r="33" spans="2:8" ht="15.75" thickBot="1" x14ac:dyDescent="0.25">
      <c r="B33" s="204"/>
      <c r="C33" s="51"/>
      <c r="D33" s="51"/>
      <c r="E33" s="51"/>
      <c r="F33" s="51"/>
      <c r="G33" s="51"/>
      <c r="H33" s="205"/>
    </row>
  </sheetData>
  <sheetProtection algorithmName="SHA-512" hashValue="/UBMPsS85WD9jfM8JAeWG+MRIazJH5SZUx6hmdl9lDgrldH89b948LaIwbLSpIliebFdDPJGDjgdSnz07ajZzg==" saltValue="E+qtJ8+BvLsJNqDcBRJKFQ==" spinCount="100000" sheet="1" objects="1" scenarios="1"/>
  <mergeCells count="13">
    <mergeCell ref="D28:G28"/>
    <mergeCell ref="C32:F32"/>
    <mergeCell ref="D18:G18"/>
    <mergeCell ref="D20:G20"/>
    <mergeCell ref="D22:G22"/>
    <mergeCell ref="D24:G24"/>
    <mergeCell ref="D26:G26"/>
    <mergeCell ref="D12:E12"/>
    <mergeCell ref="D7:E7"/>
    <mergeCell ref="D8:E8"/>
    <mergeCell ref="D9:E9"/>
    <mergeCell ref="D10:E10"/>
    <mergeCell ref="D11:E11"/>
  </mergeCells>
  <conditionalFormatting sqref="C8:C12">
    <cfRule type="expression" dxfId="93" priority="17">
      <formula>$C8="n.a."</formula>
    </cfRule>
  </conditionalFormatting>
  <conditionalFormatting sqref="C32 F32">
    <cfRule type="expression" dxfId="92" priority="15">
      <formula>SUMPRODUCT($B$8:$B$12,$H$8:$H$12)=0</formula>
    </cfRule>
  </conditionalFormatting>
  <conditionalFormatting sqref="F8">
    <cfRule type="expression" dxfId="91" priority="13">
      <formula>B8=""</formula>
    </cfRule>
  </conditionalFormatting>
  <conditionalFormatting sqref="F8">
    <cfRule type="expression" dxfId="90" priority="14">
      <formula>F8=$P$3</formula>
    </cfRule>
  </conditionalFormatting>
  <conditionalFormatting sqref="F9">
    <cfRule type="expression" dxfId="89" priority="7">
      <formula>B9=""</formula>
    </cfRule>
  </conditionalFormatting>
  <conditionalFormatting sqref="F9">
    <cfRule type="expression" dxfId="88" priority="8">
      <formula>F9=$P$3</formula>
    </cfRule>
  </conditionalFormatting>
  <conditionalFormatting sqref="F10">
    <cfRule type="expression" dxfId="87" priority="5">
      <formula>B10=""</formula>
    </cfRule>
  </conditionalFormatting>
  <conditionalFormatting sqref="F10">
    <cfRule type="expression" dxfId="86" priority="6">
      <formula>F10=$P$3</formula>
    </cfRule>
  </conditionalFormatting>
  <conditionalFormatting sqref="F11">
    <cfRule type="expression" dxfId="85" priority="3">
      <formula>B11=""</formula>
    </cfRule>
  </conditionalFormatting>
  <conditionalFormatting sqref="F11">
    <cfRule type="expression" dxfId="84" priority="4">
      <formula>F11=$P$3</formula>
    </cfRule>
  </conditionalFormatting>
  <conditionalFormatting sqref="F12">
    <cfRule type="expression" dxfId="83" priority="1">
      <formula>B12=""</formula>
    </cfRule>
  </conditionalFormatting>
  <conditionalFormatting sqref="F12">
    <cfRule type="expression" dxfId="82" priority="2">
      <formula>F12=$P$3</formula>
    </cfRule>
  </conditionalFormatting>
  <dataValidations count="1">
    <dataValidation type="list" allowBlank="1" showInputMessage="1" showErrorMessage="1" error="Wrong input!" prompt="Izaberite " sqref="F8:F12" xr:uid="{00000000-0002-0000-2600-000000000000}">
      <formula1>$N$3:$N$8</formula1>
    </dataValidation>
  </dataValidations>
  <pageMargins left="0.7" right="0.7" top="0.78740157499999996" bottom="0.78740157499999996"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Tabelle38"/>
  <dimension ref="A1:AZ45"/>
  <sheetViews>
    <sheetView showGridLines="0" workbookViewId="0">
      <selection activeCell="CR16" sqref="CR16"/>
    </sheetView>
  </sheetViews>
  <sheetFormatPr defaultColWidth="10.875" defaultRowHeight="15" outlineLevelCol="1" x14ac:dyDescent="0.2"/>
  <cols>
    <col min="1" max="1" width="3" style="80" customWidth="1"/>
    <col min="2" max="2" width="4.125" style="80" customWidth="1"/>
    <col min="3" max="3" width="9.125" style="80" customWidth="1"/>
    <col min="4" max="4" width="22.875" style="80" customWidth="1"/>
    <col min="5" max="5" width="33.5" style="80" customWidth="1"/>
    <col min="6" max="6" width="14.875" style="80" customWidth="1"/>
    <col min="7" max="7" width="10.875" style="80" customWidth="1"/>
    <col min="8" max="8" width="4.125" style="80" customWidth="1"/>
    <col min="9" max="9" width="9.125" style="80" customWidth="1"/>
    <col min="10" max="10" width="22.875" style="80" customWidth="1"/>
    <col min="11" max="11" width="33.5" style="80" customWidth="1"/>
    <col min="12" max="12" width="14.625" style="80" customWidth="1"/>
    <col min="13" max="13" width="10.875" style="80"/>
    <col min="14" max="14" width="4.125" style="80" customWidth="1"/>
    <col min="15" max="16" width="10.875" style="80"/>
    <col min="17" max="17" width="17.5" style="80" hidden="1" customWidth="1" outlineLevel="1"/>
    <col min="18" max="20" width="0" style="80" hidden="1" customWidth="1" outlineLevel="1"/>
    <col min="21" max="21" width="65.875" style="80" hidden="1" customWidth="1" outlineLevel="1"/>
    <col min="22" max="24" width="0" style="80" hidden="1" customWidth="1" outlineLevel="1"/>
    <col min="25" max="25" width="38.875" style="80" hidden="1" customWidth="1" outlineLevel="1"/>
    <col min="26" max="27" width="0" style="80" hidden="1" customWidth="1" outlineLevel="1"/>
    <col min="28" max="28" width="11.875" style="80" hidden="1" customWidth="1" outlineLevel="1"/>
    <col min="29" max="30" width="0" style="80" hidden="1" customWidth="1" outlineLevel="1"/>
    <col min="31" max="31" width="16.375" style="80" hidden="1" customWidth="1" outlineLevel="1"/>
    <col min="32" max="36" width="0" style="80" hidden="1" customWidth="1" outlineLevel="1"/>
    <col min="37" max="37" width="40.5" style="80" hidden="1" customWidth="1" outlineLevel="1"/>
    <col min="38" max="51" width="0" style="80" hidden="1" customWidth="1" outlineLevel="1"/>
    <col min="52" max="52" width="10.875" style="80" collapsed="1"/>
    <col min="53" max="16384" width="10.875" style="80"/>
  </cols>
  <sheetData>
    <row r="1" spans="1:51" ht="15.75" thickBot="1" x14ac:dyDescent="0.25">
      <c r="A1" s="1"/>
      <c r="B1" s="1"/>
      <c r="C1" s="24"/>
      <c r="D1" s="24"/>
      <c r="E1" s="24"/>
      <c r="F1" s="1"/>
      <c r="G1" s="25"/>
      <c r="H1" s="25"/>
      <c r="I1" s="1"/>
    </row>
    <row r="2" spans="1:51" ht="18.95" customHeight="1" thickBot="1" x14ac:dyDescent="0.3">
      <c r="A2" s="1"/>
      <c r="B2" s="182"/>
      <c r="C2" s="183"/>
      <c r="D2" s="183"/>
      <c r="E2" s="183"/>
      <c r="F2" s="184"/>
      <c r="G2" s="184"/>
      <c r="H2" s="184"/>
      <c r="I2" s="184"/>
      <c r="J2" s="184"/>
      <c r="K2" s="184"/>
      <c r="L2" s="184"/>
      <c r="M2" s="184"/>
      <c r="N2" s="185"/>
      <c r="U2" s="379" t="s">
        <v>422</v>
      </c>
      <c r="V2" s="380"/>
      <c r="W2" s="381"/>
      <c r="Y2" s="918" t="s">
        <v>426</v>
      </c>
      <c r="Z2" s="919"/>
      <c r="AA2" s="919"/>
      <c r="AB2" s="919"/>
      <c r="AC2" s="920"/>
      <c r="AE2" s="918" t="s">
        <v>430</v>
      </c>
      <c r="AF2" s="919"/>
      <c r="AG2" s="919"/>
      <c r="AH2" s="919"/>
      <c r="AI2" s="920"/>
      <c r="AK2" s="918" t="s">
        <v>435</v>
      </c>
      <c r="AL2" s="919"/>
      <c r="AM2" s="919"/>
      <c r="AN2" s="919"/>
      <c r="AO2" s="920"/>
      <c r="AQ2" s="918" t="s">
        <v>439</v>
      </c>
      <c r="AR2" s="919"/>
      <c r="AS2" s="919"/>
      <c r="AT2" s="919"/>
      <c r="AU2" s="920"/>
      <c r="AX2" s="379" t="s">
        <v>440</v>
      </c>
      <c r="AY2" s="421" t="s">
        <v>80</v>
      </c>
    </row>
    <row r="3" spans="1:51" ht="17.100000000000001" customHeight="1" thickBot="1" x14ac:dyDescent="0.3">
      <c r="A3" s="1"/>
      <c r="B3" s="47"/>
      <c r="C3" s="186" t="s">
        <v>405</v>
      </c>
      <c r="D3" s="186"/>
      <c r="E3" s="186"/>
      <c r="F3" s="186"/>
      <c r="G3" s="186"/>
      <c r="H3" s="186"/>
      <c r="I3" s="186"/>
      <c r="J3" s="186"/>
      <c r="K3" s="186"/>
      <c r="L3" s="186"/>
      <c r="M3" s="186"/>
      <c r="N3" s="187"/>
      <c r="Q3" s="398" t="s">
        <v>516</v>
      </c>
      <c r="S3" s="398" t="s">
        <v>507</v>
      </c>
      <c r="U3" s="392" t="s">
        <v>80</v>
      </c>
      <c r="V3" s="393" t="s">
        <v>508</v>
      </c>
      <c r="W3" s="394" t="s">
        <v>493</v>
      </c>
      <c r="Y3" s="383"/>
      <c r="Z3" s="384" t="s">
        <v>508</v>
      </c>
      <c r="AA3" s="384" t="s">
        <v>419</v>
      </c>
      <c r="AB3" s="384" t="s">
        <v>420</v>
      </c>
      <c r="AC3" s="385" t="s">
        <v>421</v>
      </c>
      <c r="AE3" s="383"/>
      <c r="AF3" s="384" t="s">
        <v>508</v>
      </c>
      <c r="AG3" s="384" t="s">
        <v>419</v>
      </c>
      <c r="AH3" s="384" t="s">
        <v>432</v>
      </c>
      <c r="AI3" s="385" t="s">
        <v>434</v>
      </c>
      <c r="AK3" s="383"/>
      <c r="AL3" s="384" t="s">
        <v>508</v>
      </c>
      <c r="AM3" s="384" t="s">
        <v>419</v>
      </c>
      <c r="AN3" s="384" t="s">
        <v>432</v>
      </c>
      <c r="AO3" s="385" t="s">
        <v>434</v>
      </c>
      <c r="AQ3" s="383"/>
      <c r="AR3" s="384" t="s">
        <v>508</v>
      </c>
      <c r="AS3" s="384" t="s">
        <v>419</v>
      </c>
      <c r="AT3" s="384" t="s">
        <v>432</v>
      </c>
      <c r="AU3" s="385" t="s">
        <v>434</v>
      </c>
      <c r="AX3" s="419">
        <v>0</v>
      </c>
      <c r="AY3" s="274">
        <v>1</v>
      </c>
    </row>
    <row r="4" spans="1:51" ht="15.95" customHeight="1" thickBot="1" x14ac:dyDescent="0.3">
      <c r="A4" s="1"/>
      <c r="B4" s="188"/>
      <c r="C4" s="189"/>
      <c r="D4" s="189"/>
      <c r="E4" s="189"/>
      <c r="F4" s="189"/>
      <c r="G4" s="189"/>
      <c r="H4" s="189"/>
      <c r="I4" s="189"/>
      <c r="J4" s="189"/>
      <c r="K4" s="189"/>
      <c r="L4" s="189"/>
      <c r="M4" s="189"/>
      <c r="N4" s="190"/>
      <c r="Q4" s="399" t="s">
        <v>83</v>
      </c>
      <c r="S4" s="399" t="s">
        <v>419</v>
      </c>
      <c r="U4" s="395" t="s">
        <v>425</v>
      </c>
      <c r="V4" s="388">
        <v>1</v>
      </c>
      <c r="W4" s="407">
        <v>5</v>
      </c>
      <c r="Y4" s="387" t="s">
        <v>427</v>
      </c>
      <c r="Z4" s="388">
        <v>1</v>
      </c>
      <c r="AA4" s="401">
        <v>1</v>
      </c>
      <c r="AB4" s="401">
        <v>2</v>
      </c>
      <c r="AC4" s="402">
        <v>4</v>
      </c>
      <c r="AE4" s="387" t="s">
        <v>431</v>
      </c>
      <c r="AF4" s="388">
        <v>1</v>
      </c>
      <c r="AG4" s="401">
        <v>1</v>
      </c>
      <c r="AH4" s="401">
        <v>2</v>
      </c>
      <c r="AI4" s="402">
        <v>4</v>
      </c>
      <c r="AK4" s="387" t="s">
        <v>436</v>
      </c>
      <c r="AL4" s="388">
        <v>1</v>
      </c>
      <c r="AM4" s="401">
        <v>1</v>
      </c>
      <c r="AN4" s="401">
        <v>2</v>
      </c>
      <c r="AO4" s="402">
        <v>4</v>
      </c>
      <c r="AQ4" s="387" t="s">
        <v>473</v>
      </c>
      <c r="AR4" s="388">
        <v>1</v>
      </c>
      <c r="AS4" s="401">
        <v>2</v>
      </c>
      <c r="AT4" s="401">
        <v>4</v>
      </c>
      <c r="AU4" s="402">
        <v>8</v>
      </c>
      <c r="AX4" s="419">
        <v>11</v>
      </c>
      <c r="AY4" s="274">
        <v>2</v>
      </c>
    </row>
    <row r="5" spans="1:51" ht="15.95" customHeight="1" thickBot="1" x14ac:dyDescent="0.3">
      <c r="A5" s="1"/>
      <c r="B5" s="327"/>
      <c r="C5" s="502"/>
      <c r="D5" s="502"/>
      <c r="E5" s="502"/>
      <c r="F5" s="502"/>
      <c r="G5" s="502"/>
      <c r="H5" s="502"/>
      <c r="I5" s="502"/>
      <c r="J5" s="502"/>
      <c r="K5" s="502"/>
      <c r="L5" s="502"/>
      <c r="M5" s="502"/>
      <c r="N5" s="502"/>
      <c r="Q5" s="399" t="s">
        <v>84</v>
      </c>
      <c r="S5" s="399" t="s">
        <v>420</v>
      </c>
      <c r="U5" s="396" t="s">
        <v>423</v>
      </c>
      <c r="V5" s="386">
        <v>2</v>
      </c>
      <c r="W5" s="408">
        <v>1</v>
      </c>
      <c r="Y5" s="389" t="s">
        <v>428</v>
      </c>
      <c r="Z5" s="386">
        <v>2</v>
      </c>
      <c r="AA5" s="403">
        <v>2</v>
      </c>
      <c r="AB5" s="403">
        <v>3</v>
      </c>
      <c r="AC5" s="404">
        <v>5</v>
      </c>
      <c r="AE5" s="389" t="s">
        <v>432</v>
      </c>
      <c r="AF5" s="386">
        <v>2</v>
      </c>
      <c r="AG5" s="403">
        <v>2</v>
      </c>
      <c r="AH5" s="403">
        <v>3</v>
      </c>
      <c r="AI5" s="404">
        <v>5</v>
      </c>
      <c r="AK5" s="389" t="s">
        <v>437</v>
      </c>
      <c r="AL5" s="386">
        <v>2</v>
      </c>
      <c r="AM5" s="403">
        <v>2</v>
      </c>
      <c r="AN5" s="403">
        <v>3</v>
      </c>
      <c r="AO5" s="404">
        <v>5</v>
      </c>
      <c r="AQ5" s="389" t="s">
        <v>432</v>
      </c>
      <c r="AR5" s="386">
        <v>2</v>
      </c>
      <c r="AS5" s="403">
        <v>3</v>
      </c>
      <c r="AT5" s="403">
        <v>6</v>
      </c>
      <c r="AU5" s="404">
        <v>10</v>
      </c>
      <c r="AX5" s="419">
        <v>16</v>
      </c>
      <c r="AY5" s="274">
        <v>3</v>
      </c>
    </row>
    <row r="6" spans="1:51" ht="15.95" customHeight="1" thickBot="1" x14ac:dyDescent="0.3">
      <c r="A6" s="1"/>
      <c r="B6" s="182"/>
      <c r="C6" s="242"/>
      <c r="D6" s="374"/>
      <c r="E6" s="374"/>
      <c r="F6" s="374"/>
      <c r="G6" s="184"/>
      <c r="H6" s="184"/>
      <c r="I6" s="184"/>
      <c r="J6" s="242"/>
      <c r="K6" s="242"/>
      <c r="L6" s="242"/>
      <c r="M6" s="242"/>
      <c r="N6" s="243"/>
      <c r="Q6" s="400" t="s">
        <v>82</v>
      </c>
      <c r="S6" s="400" t="s">
        <v>421</v>
      </c>
      <c r="U6" s="397" t="s">
        <v>424</v>
      </c>
      <c r="V6" s="391">
        <v>3</v>
      </c>
      <c r="W6" s="409">
        <v>3</v>
      </c>
      <c r="Y6" s="390" t="s">
        <v>429</v>
      </c>
      <c r="Z6" s="391">
        <v>3</v>
      </c>
      <c r="AA6" s="405">
        <v>4</v>
      </c>
      <c r="AB6" s="405">
        <v>5</v>
      </c>
      <c r="AC6" s="406">
        <v>5</v>
      </c>
      <c r="AE6" s="390" t="s">
        <v>433</v>
      </c>
      <c r="AF6" s="391">
        <v>3</v>
      </c>
      <c r="AG6" s="405">
        <v>4</v>
      </c>
      <c r="AH6" s="405">
        <v>5</v>
      </c>
      <c r="AI6" s="406">
        <v>5</v>
      </c>
      <c r="AK6" s="390" t="s">
        <v>438</v>
      </c>
      <c r="AL6" s="391">
        <v>3</v>
      </c>
      <c r="AM6" s="405">
        <v>4</v>
      </c>
      <c r="AN6" s="405">
        <v>5</v>
      </c>
      <c r="AO6" s="406">
        <v>5</v>
      </c>
      <c r="AQ6" s="390" t="s">
        <v>433</v>
      </c>
      <c r="AR6" s="391">
        <v>3</v>
      </c>
      <c r="AS6" s="405">
        <v>8</v>
      </c>
      <c r="AT6" s="405">
        <v>10</v>
      </c>
      <c r="AU6" s="406">
        <v>10</v>
      </c>
      <c r="AX6" s="419">
        <v>21</v>
      </c>
      <c r="AY6" s="274">
        <v>4</v>
      </c>
    </row>
    <row r="7" spans="1:51" ht="15.95" customHeight="1" thickBot="1" x14ac:dyDescent="0.3">
      <c r="A7" s="1"/>
      <c r="B7" s="47"/>
      <c r="C7" s="186" t="s">
        <v>518</v>
      </c>
      <c r="D7" s="191"/>
      <c r="E7" s="191"/>
      <c r="F7" s="191"/>
      <c r="G7" s="191"/>
      <c r="H7" s="191"/>
      <c r="I7" s="708"/>
      <c r="J7" s="191"/>
      <c r="K7" s="191"/>
      <c r="L7" s="191"/>
      <c r="M7" s="191"/>
      <c r="N7" s="49"/>
      <c r="Q7" s="707" t="s">
        <v>199</v>
      </c>
      <c r="S7" s="713" t="s">
        <v>82</v>
      </c>
      <c r="AX7" s="420">
        <v>26</v>
      </c>
      <c r="AY7" s="382">
        <v>5</v>
      </c>
    </row>
    <row r="8" spans="1:51" ht="9.9499999999999993" customHeight="1" thickBot="1" x14ac:dyDescent="0.25">
      <c r="A8" s="1"/>
      <c r="B8" s="45"/>
      <c r="C8" s="16"/>
      <c r="D8" s="16"/>
      <c r="E8" s="16"/>
      <c r="F8" s="16"/>
      <c r="G8" s="191"/>
      <c r="H8" s="191"/>
      <c r="I8" s="16"/>
      <c r="J8" s="16"/>
      <c r="K8" s="16"/>
      <c r="L8" s="16"/>
      <c r="M8" s="191"/>
      <c r="N8" s="49"/>
    </row>
    <row r="9" spans="1:51" ht="33.950000000000003" customHeight="1" thickBot="1" x14ac:dyDescent="0.25">
      <c r="A9" s="1"/>
      <c r="B9" s="47"/>
      <c r="C9" s="585" t="s">
        <v>82</v>
      </c>
      <c r="D9" s="931" t="s">
        <v>517</v>
      </c>
      <c r="E9" s="932"/>
      <c r="F9" s="932"/>
      <c r="G9" s="932"/>
      <c r="H9" s="932"/>
      <c r="I9" s="932"/>
      <c r="J9" s="932"/>
      <c r="K9" s="932"/>
      <c r="L9" s="932"/>
      <c r="M9" s="933"/>
      <c r="N9" s="709"/>
    </row>
    <row r="10" spans="1:51" ht="15.95" customHeight="1" thickBot="1" x14ac:dyDescent="0.25">
      <c r="A10" s="1"/>
      <c r="B10" s="204"/>
      <c r="C10" s="51"/>
      <c r="D10" s="51"/>
      <c r="E10" s="51"/>
      <c r="F10" s="51"/>
      <c r="G10" s="51"/>
      <c r="H10" s="51"/>
      <c r="I10" s="51"/>
      <c r="J10" s="51"/>
      <c r="K10" s="51"/>
      <c r="L10" s="51"/>
      <c r="M10" s="51"/>
      <c r="N10" s="205"/>
    </row>
    <row r="11" spans="1:51" ht="15.75" thickBot="1" x14ac:dyDescent="0.25">
      <c r="A11" s="1"/>
      <c r="B11" s="1"/>
      <c r="C11" s="1"/>
      <c r="D11" s="1"/>
      <c r="E11" s="1"/>
      <c r="F11" s="1"/>
      <c r="G11" s="1"/>
      <c r="H11" s="1"/>
      <c r="I11" s="1"/>
    </row>
    <row r="12" spans="1:51" ht="18" x14ac:dyDescent="0.2">
      <c r="A12" s="1"/>
      <c r="B12" s="182"/>
      <c r="C12" s="242"/>
      <c r="D12" s="374"/>
      <c r="E12" s="374"/>
      <c r="F12" s="374"/>
      <c r="G12" s="184"/>
      <c r="H12" s="184"/>
      <c r="I12" s="184"/>
      <c r="J12" s="242"/>
      <c r="K12" s="242"/>
      <c r="L12" s="242"/>
      <c r="M12" s="242"/>
      <c r="N12" s="243"/>
    </row>
    <row r="13" spans="1:51" ht="15.75" x14ac:dyDescent="0.25">
      <c r="A13" s="1"/>
      <c r="B13" s="47"/>
      <c r="C13" s="412" t="s">
        <v>406</v>
      </c>
      <c r="D13" s="227"/>
      <c r="E13" s="227"/>
      <c r="F13" s="227"/>
      <c r="G13" s="227"/>
      <c r="H13" s="227"/>
      <c r="I13" s="412" t="s">
        <v>407</v>
      </c>
      <c r="J13" s="227"/>
      <c r="K13" s="227"/>
      <c r="L13" s="227"/>
      <c r="M13" s="227"/>
      <c r="N13" s="49"/>
    </row>
    <row r="14" spans="1:51" ht="9.9499999999999993" customHeight="1" thickBot="1" x14ac:dyDescent="0.25">
      <c r="B14" s="45"/>
      <c r="C14" s="46"/>
      <c r="D14" s="46"/>
      <c r="E14" s="46"/>
      <c r="F14" s="46"/>
      <c r="G14" s="227"/>
      <c r="H14" s="227"/>
      <c r="I14" s="46"/>
      <c r="J14" s="46"/>
      <c r="K14" s="46"/>
      <c r="L14" s="46"/>
      <c r="M14" s="227"/>
      <c r="N14" s="49"/>
    </row>
    <row r="15" spans="1:51" ht="42" customHeight="1" thickBot="1" x14ac:dyDescent="0.3">
      <c r="B15" s="375"/>
      <c r="C15" s="208" t="s">
        <v>273</v>
      </c>
      <c r="D15" s="377" t="s">
        <v>74</v>
      </c>
      <c r="E15" s="868" t="s">
        <v>411</v>
      </c>
      <c r="F15" s="869"/>
      <c r="G15" s="208" t="s">
        <v>493</v>
      </c>
      <c r="H15" s="413"/>
      <c r="I15" s="208" t="s">
        <v>273</v>
      </c>
      <c r="J15" s="377" t="s">
        <v>74</v>
      </c>
      <c r="K15" s="208" t="s">
        <v>412</v>
      </c>
      <c r="L15" s="208" t="s">
        <v>417</v>
      </c>
      <c r="M15" s="208" t="s">
        <v>493</v>
      </c>
      <c r="N15" s="49"/>
    </row>
    <row r="16" spans="1:51" ht="33.950000000000003" customHeight="1" thickBot="1" x14ac:dyDescent="0.25">
      <c r="B16" s="410" t="str">
        <f>'Unos podataka'!F14</f>
        <v/>
      </c>
      <c r="C16" s="211" t="str">
        <f>'Unos podataka'!G14</f>
        <v/>
      </c>
      <c r="D16" s="378" t="str">
        <f>IF(B16&lt;&gt;"",'Unos podataka'!H14,"")</f>
        <v/>
      </c>
      <c r="E16" s="929"/>
      <c r="F16" s="930"/>
      <c r="G16" s="417" t="str">
        <f>IF(AND(E16&lt;&gt;"",B16&lt;&gt;""),VLOOKUP(MATCH(E16,$U$4:$U$7),$V$4:$W$7,2),"")</f>
        <v/>
      </c>
      <c r="H16" s="410" t="str">
        <f t="shared" ref="H16:J20" si="0">B16</f>
        <v/>
      </c>
      <c r="I16" s="211" t="str">
        <f t="shared" si="0"/>
        <v/>
      </c>
      <c r="J16" s="378" t="str">
        <f t="shared" si="0"/>
        <v/>
      </c>
      <c r="K16" s="596"/>
      <c r="L16" s="597" t="s">
        <v>82</v>
      </c>
      <c r="M16" s="677" t="str">
        <f>IF(AND(K16&lt;&gt;"",L16&lt;&gt;""),INDEX($AA$4:$AC$6,MATCH(K16,$Y$4:$Y$6,0),MATCH(L16,$S$4:$S$6,0)),"")</f>
        <v/>
      </c>
      <c r="N16" s="49"/>
    </row>
    <row r="17" spans="2:20" ht="33.950000000000003" customHeight="1" thickBot="1" x14ac:dyDescent="0.25">
      <c r="B17" s="410" t="str">
        <f>'Unos podataka'!F15</f>
        <v/>
      </c>
      <c r="C17" s="211" t="str">
        <f>'Unos podataka'!G15</f>
        <v/>
      </c>
      <c r="D17" s="378" t="str">
        <f>IF(B17&lt;&gt;"",'Unos podataka'!H15,"")</f>
        <v/>
      </c>
      <c r="E17" s="929"/>
      <c r="F17" s="930"/>
      <c r="G17" s="417" t="str">
        <f>IF(AND(E17&lt;&gt;"",B17&lt;&gt;""),VLOOKUP(MATCH(E17,$U$4:$U$7),$V$4:$W$7,2),"")</f>
        <v/>
      </c>
      <c r="H17" s="410" t="str">
        <f t="shared" si="0"/>
        <v/>
      </c>
      <c r="I17" s="211" t="str">
        <f t="shared" si="0"/>
        <v/>
      </c>
      <c r="J17" s="378" t="str">
        <f t="shared" si="0"/>
        <v/>
      </c>
      <c r="K17" s="596"/>
      <c r="L17" s="597" t="s">
        <v>82</v>
      </c>
      <c r="M17" s="677" t="str">
        <f>IF(AND(K17&lt;&gt;"",L17&lt;&gt;""),INDEX($AA$4:$AC$6,MATCH(K17,$Y$4:$Y$6,0),MATCH(L17,$S$4:$S$6,0)),"")</f>
        <v/>
      </c>
      <c r="N17" s="49"/>
    </row>
    <row r="18" spans="2:20" ht="33.950000000000003" customHeight="1" thickBot="1" x14ac:dyDescent="0.25">
      <c r="B18" s="410" t="str">
        <f>'Unos podataka'!F16</f>
        <v/>
      </c>
      <c r="C18" s="211" t="str">
        <f>'Unos podataka'!G16</f>
        <v/>
      </c>
      <c r="D18" s="378" t="str">
        <f>IF(B18&lt;&gt;"",'Unos podataka'!H16,"")</f>
        <v/>
      </c>
      <c r="E18" s="929"/>
      <c r="F18" s="930"/>
      <c r="G18" s="417" t="str">
        <f>IF(AND(E18&lt;&gt;"",B18&lt;&gt;""),VLOOKUP(MATCH(E18,$U$4:$U$7),$V$4:$W$7,2),"")</f>
        <v/>
      </c>
      <c r="H18" s="410" t="str">
        <f t="shared" si="0"/>
        <v/>
      </c>
      <c r="I18" s="211" t="str">
        <f t="shared" si="0"/>
        <v/>
      </c>
      <c r="J18" s="378" t="str">
        <f t="shared" si="0"/>
        <v/>
      </c>
      <c r="K18" s="596"/>
      <c r="L18" s="597" t="s">
        <v>82</v>
      </c>
      <c r="M18" s="677" t="str">
        <f>IF(AND(K18&lt;&gt;"",L18&lt;&gt;""),INDEX($AA$4:$AC$6,MATCH(K18,$Y$4:$Y$6,0),MATCH(L18,$S$4:$S$6,0)),"")</f>
        <v/>
      </c>
      <c r="N18" s="49"/>
    </row>
    <row r="19" spans="2:20" ht="33.950000000000003" customHeight="1" thickBot="1" x14ac:dyDescent="0.25">
      <c r="B19" s="410" t="str">
        <f>'Unos podataka'!F17</f>
        <v/>
      </c>
      <c r="C19" s="211" t="str">
        <f>'Unos podataka'!G17</f>
        <v/>
      </c>
      <c r="D19" s="378" t="str">
        <f>IF(B19&lt;&gt;"",'Unos podataka'!H17,"")</f>
        <v/>
      </c>
      <c r="E19" s="929"/>
      <c r="F19" s="930"/>
      <c r="G19" s="417" t="str">
        <f>IF(AND(E19&lt;&gt;"",B19&lt;&gt;""),VLOOKUP(MATCH(E19,$U$4:$U$7),$V$4:$W$7,2),"")</f>
        <v/>
      </c>
      <c r="H19" s="410" t="str">
        <f t="shared" si="0"/>
        <v/>
      </c>
      <c r="I19" s="211" t="str">
        <f t="shared" si="0"/>
        <v/>
      </c>
      <c r="J19" s="378" t="str">
        <f t="shared" si="0"/>
        <v/>
      </c>
      <c r="K19" s="596"/>
      <c r="L19" s="597" t="s">
        <v>82</v>
      </c>
      <c r="M19" s="677" t="str">
        <f>IF(AND(K19&lt;&gt;"",L19&lt;&gt;""),INDEX($AA$4:$AC$6,MATCH(K19,$Y$4:$Y$6,0),MATCH(L19,$S$4:$S$6,0)),"")</f>
        <v/>
      </c>
      <c r="N19" s="49"/>
    </row>
    <row r="20" spans="2:20" ht="33.950000000000003" customHeight="1" thickBot="1" x14ac:dyDescent="0.25">
      <c r="B20" s="410" t="str">
        <f>'Unos podataka'!F18</f>
        <v/>
      </c>
      <c r="C20" s="211" t="str">
        <f>'Unos podataka'!G18</f>
        <v/>
      </c>
      <c r="D20" s="378" t="str">
        <f>IF(B20&lt;&gt;"",'Unos podataka'!H18,"")</f>
        <v/>
      </c>
      <c r="E20" s="929"/>
      <c r="F20" s="930"/>
      <c r="G20" s="417" t="str">
        <f>IF(AND(E20&lt;&gt;"",B20&lt;&gt;""),VLOOKUP(MATCH(E20,$U$4:$U$7),$V$4:$W$7,2),"")</f>
        <v/>
      </c>
      <c r="H20" s="410" t="str">
        <f t="shared" si="0"/>
        <v/>
      </c>
      <c r="I20" s="211" t="str">
        <f t="shared" si="0"/>
        <v/>
      </c>
      <c r="J20" s="378" t="str">
        <f t="shared" si="0"/>
        <v/>
      </c>
      <c r="K20" s="596"/>
      <c r="L20" s="597" t="s">
        <v>82</v>
      </c>
      <c r="M20" s="677" t="str">
        <f>IF(AND(K20&lt;&gt;"",L20&lt;&gt;""),INDEX($AA$4:$AC$6,MATCH(K20,$Y$4:$Y$6,0),MATCH(L20,$S$4:$S$6,0)),"")</f>
        <v/>
      </c>
      <c r="N20" s="49"/>
    </row>
    <row r="21" spans="2:20" x14ac:dyDescent="0.2">
      <c r="B21" s="414"/>
      <c r="C21" s="46"/>
      <c r="D21" s="46"/>
      <c r="E21" s="46"/>
      <c r="F21" s="46"/>
      <c r="G21" s="227"/>
      <c r="H21" s="413"/>
      <c r="I21" s="227"/>
      <c r="J21" s="46"/>
      <c r="K21" s="46"/>
      <c r="L21" s="46"/>
      <c r="M21" s="46"/>
      <c r="N21" s="49"/>
    </row>
    <row r="22" spans="2:20" ht="15.75" x14ac:dyDescent="0.25">
      <c r="B22" s="415"/>
      <c r="C22" s="412" t="s">
        <v>408</v>
      </c>
      <c r="D22" s="227"/>
      <c r="E22" s="227"/>
      <c r="F22" s="227"/>
      <c r="G22" s="227"/>
      <c r="H22" s="413"/>
      <c r="I22" s="412" t="s">
        <v>409</v>
      </c>
      <c r="J22" s="227"/>
      <c r="K22" s="227"/>
      <c r="L22" s="227"/>
      <c r="M22" s="227"/>
      <c r="N22" s="50"/>
    </row>
    <row r="23" spans="2:20" ht="9.9499999999999993" customHeight="1" thickBot="1" x14ac:dyDescent="0.25">
      <c r="B23" s="414"/>
      <c r="C23" s="46"/>
      <c r="D23" s="46"/>
      <c r="E23" s="46"/>
      <c r="F23" s="46"/>
      <c r="G23" s="227"/>
      <c r="H23" s="416"/>
      <c r="I23" s="46"/>
      <c r="J23" s="46"/>
      <c r="K23" s="46"/>
      <c r="L23" s="46"/>
      <c r="M23" s="227"/>
      <c r="N23" s="50"/>
    </row>
    <row r="24" spans="2:20" ht="42" customHeight="1" thickBot="1" x14ac:dyDescent="0.3">
      <c r="B24" s="411"/>
      <c r="C24" s="208" t="s">
        <v>273</v>
      </c>
      <c r="D24" s="377" t="s">
        <v>74</v>
      </c>
      <c r="E24" s="208" t="s">
        <v>413</v>
      </c>
      <c r="F24" s="208" t="s">
        <v>417</v>
      </c>
      <c r="G24" s="208" t="s">
        <v>493</v>
      </c>
      <c r="H24" s="411"/>
      <c r="I24" s="208" t="s">
        <v>273</v>
      </c>
      <c r="J24" s="377" t="s">
        <v>74</v>
      </c>
      <c r="K24" s="208" t="s">
        <v>414</v>
      </c>
      <c r="L24" s="208" t="s">
        <v>417</v>
      </c>
      <c r="M24" s="208" t="s">
        <v>493</v>
      </c>
      <c r="N24" s="50"/>
    </row>
    <row r="25" spans="2:20" ht="33.950000000000003" customHeight="1" thickBot="1" x14ac:dyDescent="0.25">
      <c r="B25" s="410" t="str">
        <f t="shared" ref="B25:D29" si="1">H16</f>
        <v/>
      </c>
      <c r="C25" s="211" t="str">
        <f t="shared" si="1"/>
        <v/>
      </c>
      <c r="D25" s="378" t="str">
        <f t="shared" si="1"/>
        <v/>
      </c>
      <c r="E25" s="596"/>
      <c r="F25" s="597" t="s">
        <v>82</v>
      </c>
      <c r="G25" s="677" t="str">
        <f>IF(AND(E25&lt;&gt;"",F25&lt;&gt;""),INDEX($AG$4:$AI$6,MATCH(E25,$AE$4:$AE$6,0),MATCH(F25,$S$4:$S$6,0)),"")</f>
        <v/>
      </c>
      <c r="H25" s="410" t="str">
        <f t="shared" ref="H25:J29" si="2">B25</f>
        <v/>
      </c>
      <c r="I25" s="211" t="str">
        <f t="shared" si="2"/>
        <v/>
      </c>
      <c r="J25" s="378" t="str">
        <f t="shared" si="2"/>
        <v/>
      </c>
      <c r="K25" s="596"/>
      <c r="L25" s="597" t="s">
        <v>82</v>
      </c>
      <c r="M25" s="677" t="str">
        <f>IF(AND(K25&lt;&gt;"",L25&lt;&gt;""),INDEX($AM$4:$AO$6,MATCH(K25,$AK$4:$AK$6,0),MATCH(L25,$S$4:$S$6,0)),"")</f>
        <v/>
      </c>
      <c r="N25" s="50"/>
      <c r="P25" s="422"/>
    </row>
    <row r="26" spans="2:20" ht="33.950000000000003" customHeight="1" thickBot="1" x14ac:dyDescent="0.25">
      <c r="B26" s="410" t="str">
        <f t="shared" si="1"/>
        <v/>
      </c>
      <c r="C26" s="211" t="str">
        <f t="shared" si="1"/>
        <v/>
      </c>
      <c r="D26" s="378" t="str">
        <f t="shared" si="1"/>
        <v/>
      </c>
      <c r="E26" s="596"/>
      <c r="F26" s="597" t="s">
        <v>82</v>
      </c>
      <c r="G26" s="677" t="str">
        <f>IF(AND(E26&lt;&gt;"",F26&lt;&gt;""),INDEX($AG$4:$AI$6,MATCH(E26,$AE$4:$AE$6,0),MATCH(F26,$S$4:$S$6,0)),"")</f>
        <v/>
      </c>
      <c r="H26" s="410" t="str">
        <f t="shared" si="2"/>
        <v/>
      </c>
      <c r="I26" s="211" t="str">
        <f t="shared" si="2"/>
        <v/>
      </c>
      <c r="J26" s="378" t="str">
        <f t="shared" si="2"/>
        <v/>
      </c>
      <c r="K26" s="596"/>
      <c r="L26" s="597" t="s">
        <v>82</v>
      </c>
      <c r="M26" s="677" t="str">
        <f>IF(AND(K26&lt;&gt;"",L26&lt;&gt;""),INDEX($AM$4:$AO$6,MATCH(K26,$AK$4:$AK$6,0),MATCH(L26,$S$4:$S$6,0)),"")</f>
        <v/>
      </c>
      <c r="N26" s="50"/>
    </row>
    <row r="27" spans="2:20" ht="33.950000000000003" customHeight="1" thickBot="1" x14ac:dyDescent="0.25">
      <c r="B27" s="410" t="str">
        <f t="shared" si="1"/>
        <v/>
      </c>
      <c r="C27" s="211" t="str">
        <f t="shared" si="1"/>
        <v/>
      </c>
      <c r="D27" s="378" t="str">
        <f t="shared" si="1"/>
        <v/>
      </c>
      <c r="E27" s="596"/>
      <c r="F27" s="597" t="s">
        <v>82</v>
      </c>
      <c r="G27" s="677" t="str">
        <f>IF(AND(E27&lt;&gt;"",F27&lt;&gt;""),INDEX($AG$4:$AI$6,MATCH(E27,$AE$4:$AE$6,0),MATCH(F27,$S$4:$S$6,0)),"")</f>
        <v/>
      </c>
      <c r="H27" s="410" t="str">
        <f t="shared" si="2"/>
        <v/>
      </c>
      <c r="I27" s="211" t="str">
        <f t="shared" si="2"/>
        <v/>
      </c>
      <c r="J27" s="378" t="str">
        <f t="shared" si="2"/>
        <v/>
      </c>
      <c r="K27" s="596"/>
      <c r="L27" s="597" t="s">
        <v>82</v>
      </c>
      <c r="M27" s="677" t="str">
        <f>IF(AND(K27&lt;&gt;"",L27&lt;&gt;""),INDEX($AM$4:$AO$6,MATCH(K27,$AK$4:$AK$6,0),MATCH(L27,$S$4:$S$6,0)),"")</f>
        <v/>
      </c>
      <c r="N27" s="50"/>
    </row>
    <row r="28" spans="2:20" ht="33.950000000000003" customHeight="1" thickBot="1" x14ac:dyDescent="0.25">
      <c r="B28" s="410" t="str">
        <f t="shared" si="1"/>
        <v/>
      </c>
      <c r="C28" s="211" t="str">
        <f t="shared" si="1"/>
        <v/>
      </c>
      <c r="D28" s="378" t="str">
        <f t="shared" si="1"/>
        <v/>
      </c>
      <c r="E28" s="596"/>
      <c r="F28" s="597" t="s">
        <v>82</v>
      </c>
      <c r="G28" s="677" t="str">
        <f>IF(AND(E28&lt;&gt;"",F28&lt;&gt;""),INDEX($AG$4:$AI$6,MATCH(E28,$AE$4:$AE$6,0),MATCH(F28,$S$4:$S$6,0)),"")</f>
        <v/>
      </c>
      <c r="H28" s="410" t="str">
        <f t="shared" si="2"/>
        <v/>
      </c>
      <c r="I28" s="211" t="str">
        <f t="shared" si="2"/>
        <v/>
      </c>
      <c r="J28" s="378" t="str">
        <f t="shared" si="2"/>
        <v/>
      </c>
      <c r="K28" s="596"/>
      <c r="L28" s="597" t="s">
        <v>82</v>
      </c>
      <c r="M28" s="677" t="str">
        <f>IF(AND(K28&lt;&gt;"",L28&lt;&gt;""),INDEX($AM$4:$AO$6,MATCH(K28,$AK$4:$AK$6,0),MATCH(L28,$S$4:$S$6,0)),"")</f>
        <v/>
      </c>
      <c r="N28" s="50"/>
      <c r="S28" s="671"/>
      <c r="T28" s="671"/>
    </row>
    <row r="29" spans="2:20" ht="33.950000000000003" customHeight="1" thickBot="1" x14ac:dyDescent="0.25">
      <c r="B29" s="410" t="str">
        <f t="shared" si="1"/>
        <v/>
      </c>
      <c r="C29" s="211" t="str">
        <f t="shared" si="1"/>
        <v/>
      </c>
      <c r="D29" s="378" t="str">
        <f t="shared" si="1"/>
        <v/>
      </c>
      <c r="E29" s="596"/>
      <c r="F29" s="597" t="s">
        <v>82</v>
      </c>
      <c r="G29" s="677" t="str">
        <f>IF(AND(E29&lt;&gt;"",F29&lt;&gt;""),INDEX($AG$4:$AI$6,MATCH(E29,$AE$4:$AE$6,0),MATCH(F29,$S$4:$S$6,0)),"")</f>
        <v/>
      </c>
      <c r="H29" s="410" t="str">
        <f t="shared" si="2"/>
        <v/>
      </c>
      <c r="I29" s="211" t="str">
        <f t="shared" si="2"/>
        <v/>
      </c>
      <c r="J29" s="378" t="str">
        <f t="shared" si="2"/>
        <v/>
      </c>
      <c r="K29" s="596"/>
      <c r="L29" s="597" t="s">
        <v>82</v>
      </c>
      <c r="M29" s="677" t="str">
        <f>IF(AND(K29&lt;&gt;"",L29&lt;&gt;""),INDEX($AM$4:$AO$6,MATCH(K29,$AK$4:$AK$6,0),MATCH(L29,$S$4:$S$6,0)),"")</f>
        <v/>
      </c>
      <c r="N29" s="50"/>
    </row>
    <row r="30" spans="2:20" x14ac:dyDescent="0.2">
      <c r="B30" s="410"/>
      <c r="C30" s="46"/>
      <c r="D30" s="46"/>
      <c r="E30" s="46"/>
      <c r="F30" s="46"/>
      <c r="G30" s="227"/>
      <c r="H30" s="413"/>
      <c r="I30" s="46"/>
      <c r="J30" s="46"/>
      <c r="K30" s="46"/>
      <c r="L30" s="46"/>
      <c r="M30" s="46"/>
      <c r="N30" s="49"/>
    </row>
    <row r="31" spans="2:20" ht="15.75" x14ac:dyDescent="0.25">
      <c r="B31" s="415"/>
      <c r="C31" s="412" t="s">
        <v>410</v>
      </c>
      <c r="D31" s="227"/>
      <c r="E31" s="227"/>
      <c r="F31" s="227"/>
      <c r="G31" s="227"/>
      <c r="H31" s="413"/>
      <c r="I31" s="412" t="s">
        <v>128</v>
      </c>
      <c r="J31" s="46"/>
      <c r="K31" s="46"/>
      <c r="L31" s="46"/>
      <c r="M31" s="46"/>
      <c r="N31" s="49"/>
    </row>
    <row r="32" spans="2:20" ht="9.9499999999999993" customHeight="1" thickBot="1" x14ac:dyDescent="0.25">
      <c r="B32" s="414"/>
      <c r="C32" s="46"/>
      <c r="D32" s="46"/>
      <c r="E32" s="46"/>
      <c r="F32" s="46"/>
      <c r="G32" s="227"/>
      <c r="H32" s="413"/>
      <c r="I32" s="227"/>
      <c r="J32" s="46"/>
      <c r="K32" s="46"/>
      <c r="L32" s="46"/>
      <c r="M32" s="46"/>
      <c r="N32" s="49"/>
    </row>
    <row r="33" spans="2:18" ht="42" customHeight="1" thickBot="1" x14ac:dyDescent="0.3">
      <c r="B33" s="411"/>
      <c r="C33" s="208" t="s">
        <v>273</v>
      </c>
      <c r="D33" s="377" t="s">
        <v>74</v>
      </c>
      <c r="E33" s="208" t="s">
        <v>415</v>
      </c>
      <c r="F33" s="208" t="s">
        <v>417</v>
      </c>
      <c r="G33" s="208" t="s">
        <v>493</v>
      </c>
      <c r="H33" s="411"/>
      <c r="I33" s="208" t="s">
        <v>273</v>
      </c>
      <c r="J33" s="377" t="s">
        <v>74</v>
      </c>
      <c r="K33" s="208" t="s">
        <v>418</v>
      </c>
      <c r="L33" s="868" t="s">
        <v>416</v>
      </c>
      <c r="M33" s="869"/>
      <c r="N33" s="49"/>
    </row>
    <row r="34" spans="2:18" ht="33.950000000000003" customHeight="1" thickBot="1" x14ac:dyDescent="0.25">
      <c r="B34" s="410" t="str">
        <f t="shared" ref="B34:D38" si="3">H25</f>
        <v/>
      </c>
      <c r="C34" s="211" t="str">
        <f t="shared" si="3"/>
        <v/>
      </c>
      <c r="D34" s="378" t="str">
        <f t="shared" si="3"/>
        <v/>
      </c>
      <c r="E34" s="596"/>
      <c r="F34" s="597" t="s">
        <v>82</v>
      </c>
      <c r="G34" s="677" t="str">
        <f>IF(AND(E34&lt;&gt;"",F34&lt;&gt;""),INDEX($AS$4:$AU$6,MATCH(E34,$AQ$4:$AQ$6,0),MATCH(F34,$S$4:$S$6,0)),"")</f>
        <v/>
      </c>
      <c r="H34" s="410" t="str">
        <f t="shared" ref="H34:J38" si="4">B34</f>
        <v/>
      </c>
      <c r="I34" s="211" t="str">
        <f t="shared" si="4"/>
        <v/>
      </c>
      <c r="J34" s="378" t="str">
        <f t="shared" si="4"/>
        <v/>
      </c>
      <c r="K34" s="418" t="str">
        <f>IF(AND(H34=1,G16&lt;&gt;"",G25&lt;&gt;"",G34&lt;&gt;"",M16&lt;&gt;"",M25&lt;&gt;""),G16+M16+G25+M25+G34,"")</f>
        <v/>
      </c>
      <c r="L34" s="924" t="str">
        <f>IF($C$9=$Q$6,"",IF($C$9=$Q$5,$Q$7,IF(AND(H34=1,K34&lt;&gt;""),VLOOKUP(K34,$AX$3:$AY$7,2),"")))</f>
        <v/>
      </c>
      <c r="M34" s="925"/>
      <c r="N34" s="424">
        <f>IF(AND(L34&lt;&gt;"",H34=1),1,0)</f>
        <v>0</v>
      </c>
      <c r="Q34" s="670"/>
      <c r="R34" s="671"/>
    </row>
    <row r="35" spans="2:18" ht="33.950000000000003" customHeight="1" thickBot="1" x14ac:dyDescent="0.25">
      <c r="B35" s="410" t="str">
        <f t="shared" si="3"/>
        <v/>
      </c>
      <c r="C35" s="211" t="str">
        <f t="shared" si="3"/>
        <v/>
      </c>
      <c r="D35" s="378" t="str">
        <f t="shared" si="3"/>
        <v/>
      </c>
      <c r="E35" s="596"/>
      <c r="F35" s="597" t="s">
        <v>82</v>
      </c>
      <c r="G35" s="677" t="str">
        <f>IF(AND(E35&lt;&gt;"",F35&lt;&gt;""),INDEX($AS$4:$AU$6,MATCH(E35,$AQ$4:$AQ$6,0),MATCH(F35,$S$4:$S$6,0)),"")</f>
        <v/>
      </c>
      <c r="H35" s="410" t="str">
        <f t="shared" si="4"/>
        <v/>
      </c>
      <c r="I35" s="211" t="str">
        <f t="shared" si="4"/>
        <v/>
      </c>
      <c r="J35" s="378" t="str">
        <f t="shared" si="4"/>
        <v/>
      </c>
      <c r="K35" s="418" t="str">
        <f>IF(AND(H35=1,G17&lt;&gt;"",G26&lt;&gt;"",G35&lt;&gt;"",M17&lt;&gt;"",M26&lt;&gt;""),G17+M17+G26+M26+G35,"")</f>
        <v/>
      </c>
      <c r="L35" s="924" t="str">
        <f t="shared" ref="L35:L38" si="5">IF($C$9=$Q$6,"",IF($C$9=$Q$5,$Q$7,IF(AND(H35=1,K35&lt;&gt;""),VLOOKUP(K35,$AX$3:$AY$7,2),"")))</f>
        <v/>
      </c>
      <c r="M35" s="925"/>
      <c r="N35" s="424">
        <f>IF(AND(L35&lt;&gt;"",H35=1),1,0)</f>
        <v>0</v>
      </c>
    </row>
    <row r="36" spans="2:18" ht="33.950000000000003" customHeight="1" thickBot="1" x14ac:dyDescent="0.25">
      <c r="B36" s="410" t="str">
        <f t="shared" si="3"/>
        <v/>
      </c>
      <c r="C36" s="211" t="str">
        <f t="shared" si="3"/>
        <v/>
      </c>
      <c r="D36" s="378" t="str">
        <f t="shared" si="3"/>
        <v/>
      </c>
      <c r="E36" s="596"/>
      <c r="F36" s="597" t="s">
        <v>82</v>
      </c>
      <c r="G36" s="677" t="str">
        <f>IF(AND(E36&lt;&gt;"",F36&lt;&gt;""),INDEX($AS$4:$AU$6,MATCH(E36,$AQ$4:$AQ$6,0),MATCH(F36,$S$4:$S$6,0)),"")</f>
        <v/>
      </c>
      <c r="H36" s="410" t="str">
        <f t="shared" si="4"/>
        <v/>
      </c>
      <c r="I36" s="211" t="str">
        <f t="shared" si="4"/>
        <v/>
      </c>
      <c r="J36" s="378" t="str">
        <f t="shared" si="4"/>
        <v/>
      </c>
      <c r="K36" s="418" t="str">
        <f>IF(AND(H36=1,G18&lt;&gt;"",G27&lt;&gt;"",G36&lt;&gt;"",M18&lt;&gt;"",M27&lt;&gt;""),G18+M18+G27+M27+G36,"")</f>
        <v/>
      </c>
      <c r="L36" s="924" t="str">
        <f t="shared" si="5"/>
        <v/>
      </c>
      <c r="M36" s="925"/>
      <c r="N36" s="424">
        <f>IF(AND(L36&lt;&gt;"",H36=1),1,0)</f>
        <v>0</v>
      </c>
      <c r="R36" s="423"/>
    </row>
    <row r="37" spans="2:18" ht="33.950000000000003" customHeight="1" thickBot="1" x14ac:dyDescent="0.25">
      <c r="B37" s="410" t="str">
        <f t="shared" si="3"/>
        <v/>
      </c>
      <c r="C37" s="211" t="str">
        <f t="shared" si="3"/>
        <v/>
      </c>
      <c r="D37" s="378" t="str">
        <f t="shared" si="3"/>
        <v/>
      </c>
      <c r="E37" s="596"/>
      <c r="F37" s="597" t="s">
        <v>82</v>
      </c>
      <c r="G37" s="677" t="str">
        <f>IF(AND(E37&lt;&gt;"",F37&lt;&gt;""),INDEX($AS$4:$AU$6,MATCH(E37,$AQ$4:$AQ$6,0),MATCH(F37,$S$4:$S$6,0)),"")</f>
        <v/>
      </c>
      <c r="H37" s="410" t="str">
        <f t="shared" si="4"/>
        <v/>
      </c>
      <c r="I37" s="211" t="str">
        <f t="shared" si="4"/>
        <v/>
      </c>
      <c r="J37" s="378" t="str">
        <f t="shared" si="4"/>
        <v/>
      </c>
      <c r="K37" s="418" t="str">
        <f>IF(AND(H37=1,G19&lt;&gt;"",G28&lt;&gt;"",G37&lt;&gt;"",M19&lt;&gt;"",M28&lt;&gt;""),G19+M19+G28+M28+G37,"")</f>
        <v/>
      </c>
      <c r="L37" s="924" t="str">
        <f t="shared" si="5"/>
        <v/>
      </c>
      <c r="M37" s="925"/>
      <c r="N37" s="424">
        <f>IF(AND(L37&lt;&gt;"",H37=1),1,0)</f>
        <v>0</v>
      </c>
    </row>
    <row r="38" spans="2:18" ht="33.950000000000003" customHeight="1" thickBot="1" x14ac:dyDescent="0.25">
      <c r="B38" s="410" t="str">
        <f t="shared" si="3"/>
        <v/>
      </c>
      <c r="C38" s="211" t="str">
        <f t="shared" si="3"/>
        <v/>
      </c>
      <c r="D38" s="378" t="str">
        <f t="shared" si="3"/>
        <v/>
      </c>
      <c r="E38" s="596"/>
      <c r="F38" s="597" t="s">
        <v>82</v>
      </c>
      <c r="G38" s="677" t="str">
        <f>IF(AND(E38&lt;&gt;"",F38&lt;&gt;""),INDEX($AS$4:$AU$6,MATCH(E38,$AQ$4:$AQ$6,0),MATCH(F38,$S$4:$S$6,0)),"")</f>
        <v/>
      </c>
      <c r="H38" s="410" t="str">
        <f t="shared" si="4"/>
        <v/>
      </c>
      <c r="I38" s="211" t="str">
        <f t="shared" si="4"/>
        <v/>
      </c>
      <c r="J38" s="378" t="str">
        <f t="shared" si="4"/>
        <v/>
      </c>
      <c r="K38" s="418" t="str">
        <f>IF(AND(H38=1,G20&lt;&gt;"",G29&lt;&gt;"",G38&lt;&gt;"",M20&lt;&gt;"",M29&lt;&gt;""),G20+M20+G29+M29+G38,"")</f>
        <v/>
      </c>
      <c r="L38" s="924" t="str">
        <f t="shared" si="5"/>
        <v/>
      </c>
      <c r="M38" s="925"/>
      <c r="N38" s="424">
        <f>IF(AND(L38&lt;&gt;"",H38=1),1,0)</f>
        <v>0</v>
      </c>
    </row>
    <row r="39" spans="2:18" ht="15.75" thickBot="1" x14ac:dyDescent="0.25">
      <c r="B39" s="45"/>
      <c r="C39" s="46"/>
      <c r="D39" s="46"/>
      <c r="E39" s="46"/>
      <c r="F39" s="46"/>
      <c r="G39" s="46"/>
      <c r="H39" s="46"/>
      <c r="I39" s="46"/>
      <c r="J39" s="46"/>
      <c r="K39" s="46"/>
      <c r="L39" s="46"/>
      <c r="M39" s="46"/>
      <c r="N39" s="49"/>
    </row>
    <row r="40" spans="2:18" ht="33.950000000000003" customHeight="1" thickBot="1" x14ac:dyDescent="0.25">
      <c r="B40" s="45"/>
      <c r="C40" s="46"/>
      <c r="D40" s="46"/>
      <c r="E40" s="46"/>
      <c r="F40" s="46"/>
      <c r="G40" s="46"/>
      <c r="H40" s="46"/>
      <c r="I40" s="921" t="s">
        <v>441</v>
      </c>
      <c r="J40" s="922"/>
      <c r="K40" s="923"/>
      <c r="L40" s="926" t="str">
        <f>IF(C9=Q6,"",IF(C9=Q5,$Q$7,IF(SUM(H34:H38)=SUM(N34:N38),MIN(L34:L38),"")))</f>
        <v/>
      </c>
      <c r="M40" s="927"/>
      <c r="N40" s="49"/>
    </row>
    <row r="41" spans="2:18" ht="15.75" thickBot="1" x14ac:dyDescent="0.25">
      <c r="B41" s="204"/>
      <c r="C41" s="51"/>
      <c r="D41" s="51"/>
      <c r="E41" s="51"/>
      <c r="F41" s="51"/>
      <c r="G41" s="51"/>
      <c r="H41" s="51"/>
      <c r="I41" s="51"/>
      <c r="J41" s="51"/>
      <c r="K41" s="51"/>
      <c r="L41" s="51"/>
      <c r="M41" s="51"/>
      <c r="N41" s="205"/>
    </row>
    <row r="42" spans="2:18" ht="15.75" thickBot="1" x14ac:dyDescent="0.25"/>
    <row r="43" spans="2:18" x14ac:dyDescent="0.2">
      <c r="B43" s="241"/>
      <c r="C43" s="242"/>
      <c r="D43" s="242"/>
      <c r="E43" s="242"/>
      <c r="F43" s="242"/>
      <c r="G43" s="242"/>
      <c r="H43" s="242"/>
      <c r="I43" s="242"/>
      <c r="J43" s="242"/>
      <c r="K43" s="242"/>
      <c r="L43" s="242"/>
      <c r="M43" s="242"/>
      <c r="N43" s="243"/>
    </row>
    <row r="44" spans="2:18" ht="23.25" x14ac:dyDescent="0.35">
      <c r="B44" s="45"/>
      <c r="C44" s="928" t="str">
        <f>IF(C9=Q6,"Primjenjivost kriterija nije ocijenjena",IF(C9=Q5,"Kriterij nije primjenjiv",IF(C16="","",IF(SUM(H34:H38)=SUM(N34:N38), "Sva vodna tijela su ocijenjena!","Ocjena kriterija nije završena!"))))</f>
        <v>Primjenjivost kriterija nije ocijenjena</v>
      </c>
      <c r="D44" s="928"/>
      <c r="E44" s="928"/>
      <c r="F44" s="928"/>
      <c r="G44" s="928"/>
      <c r="H44" s="928"/>
      <c r="I44" s="928"/>
      <c r="J44" s="928"/>
      <c r="K44" s="928"/>
      <c r="L44" s="928"/>
      <c r="M44" s="928"/>
      <c r="N44" s="630">
        <f>IF(C16="",0,IF(SUM(H34:H38)=SUM(N34:N38), 1,0))</f>
        <v>0</v>
      </c>
    </row>
    <row r="45" spans="2:18" ht="15.75" thickBot="1" x14ac:dyDescent="0.25">
      <c r="B45" s="204"/>
      <c r="C45" s="51"/>
      <c r="D45" s="51"/>
      <c r="E45" s="51"/>
      <c r="F45" s="51"/>
      <c r="G45" s="51"/>
      <c r="H45" s="51"/>
      <c r="I45" s="51"/>
      <c r="J45" s="51"/>
      <c r="K45" s="51"/>
      <c r="L45" s="51"/>
      <c r="M45" s="51"/>
      <c r="N45" s="205"/>
    </row>
  </sheetData>
  <sheetProtection algorithmName="SHA-512" hashValue="Q9SY1r4fW51JaKbn3kDXRS/1v5+SG1Af0MwoLXdJS/csN5WFCHgu/pU3NuByCkyHqUgYaKexnBo4e57Q74Mvmw==" saltValue="1ibx4Lfy9u2dJleV1FsQww==" spinCount="100000" sheet="1" objects="1" scenarios="1"/>
  <mergeCells count="20">
    <mergeCell ref="C44:M44"/>
    <mergeCell ref="AE2:AI2"/>
    <mergeCell ref="AK2:AO2"/>
    <mergeCell ref="E15:F15"/>
    <mergeCell ref="E16:F16"/>
    <mergeCell ref="E17:F17"/>
    <mergeCell ref="E18:F18"/>
    <mergeCell ref="E19:F19"/>
    <mergeCell ref="E20:F20"/>
    <mergeCell ref="D9:M9"/>
    <mergeCell ref="AQ2:AU2"/>
    <mergeCell ref="I40:K40"/>
    <mergeCell ref="L33:M33"/>
    <mergeCell ref="L34:M34"/>
    <mergeCell ref="L35:M35"/>
    <mergeCell ref="L36:M36"/>
    <mergeCell ref="L37:M37"/>
    <mergeCell ref="Y2:AC2"/>
    <mergeCell ref="L38:M38"/>
    <mergeCell ref="L40:M40"/>
  </mergeCells>
  <conditionalFormatting sqref="K16">
    <cfRule type="expression" dxfId="81" priority="90">
      <formula>H16=1</formula>
    </cfRule>
  </conditionalFormatting>
  <conditionalFormatting sqref="M16:M20 G17:G20">
    <cfRule type="expression" dxfId="80" priority="85">
      <formula>B16=1</formula>
    </cfRule>
  </conditionalFormatting>
  <conditionalFormatting sqref="E25">
    <cfRule type="expression" dxfId="79" priority="68">
      <formula>B25=1</formula>
    </cfRule>
  </conditionalFormatting>
  <conditionalFormatting sqref="G25:G29">
    <cfRule type="expression" dxfId="78" priority="67">
      <formula>B25=1</formula>
    </cfRule>
  </conditionalFormatting>
  <conditionalFormatting sqref="F25 L16">
    <cfRule type="expression" dxfId="77" priority="66">
      <formula>B16=1</formula>
    </cfRule>
  </conditionalFormatting>
  <conditionalFormatting sqref="K25">
    <cfRule type="expression" dxfId="76" priority="65">
      <formula>H25=1</formula>
    </cfRule>
  </conditionalFormatting>
  <conditionalFormatting sqref="M25:M29">
    <cfRule type="expression" dxfId="75" priority="64">
      <formula>H25=1</formula>
    </cfRule>
  </conditionalFormatting>
  <conditionalFormatting sqref="L25">
    <cfRule type="expression" dxfId="74" priority="63">
      <formula>H25=1</formula>
    </cfRule>
  </conditionalFormatting>
  <conditionalFormatting sqref="E34">
    <cfRule type="expression" dxfId="73" priority="62">
      <formula>B34=1</formula>
    </cfRule>
  </conditionalFormatting>
  <conditionalFormatting sqref="G34:G38">
    <cfRule type="expression" dxfId="72" priority="61">
      <formula>B34=1</formula>
    </cfRule>
  </conditionalFormatting>
  <conditionalFormatting sqref="F34">
    <cfRule type="expression" dxfId="71" priority="60">
      <formula>B34=1</formula>
    </cfRule>
  </conditionalFormatting>
  <conditionalFormatting sqref="K34:K38">
    <cfRule type="expression" dxfId="70" priority="59">
      <formula>H34=1</formula>
    </cfRule>
  </conditionalFormatting>
  <conditionalFormatting sqref="E18">
    <cfRule type="expression" dxfId="69" priority="55">
      <formula>B18=1</formula>
    </cfRule>
  </conditionalFormatting>
  <conditionalFormatting sqref="E19">
    <cfRule type="expression" dxfId="68" priority="54">
      <formula>B19=1</formula>
    </cfRule>
  </conditionalFormatting>
  <conditionalFormatting sqref="E20">
    <cfRule type="expression" dxfId="67" priority="53">
      <formula>B20=1</formula>
    </cfRule>
  </conditionalFormatting>
  <conditionalFormatting sqref="E26">
    <cfRule type="expression" dxfId="66" priority="52">
      <formula>B26=1</formula>
    </cfRule>
  </conditionalFormatting>
  <conditionalFormatting sqref="F26">
    <cfRule type="expression" dxfId="65" priority="51">
      <formula>B26=1</formula>
    </cfRule>
  </conditionalFormatting>
  <conditionalFormatting sqref="E27">
    <cfRule type="expression" dxfId="64" priority="50">
      <formula>B27=1</formula>
    </cfRule>
  </conditionalFormatting>
  <conditionalFormatting sqref="F27">
    <cfRule type="expression" dxfId="63" priority="49">
      <formula>B27=1</formula>
    </cfRule>
  </conditionalFormatting>
  <conditionalFormatting sqref="E35">
    <cfRule type="expression" dxfId="62" priority="44">
      <formula>B35=1</formula>
    </cfRule>
  </conditionalFormatting>
  <conditionalFormatting sqref="F35">
    <cfRule type="expression" dxfId="61" priority="43">
      <formula>B35=1</formula>
    </cfRule>
  </conditionalFormatting>
  <conditionalFormatting sqref="E36">
    <cfRule type="expression" dxfId="60" priority="42">
      <formula>B36=1</formula>
    </cfRule>
  </conditionalFormatting>
  <conditionalFormatting sqref="F36">
    <cfRule type="expression" dxfId="59" priority="41">
      <formula>B36=1</formula>
    </cfRule>
  </conditionalFormatting>
  <conditionalFormatting sqref="K17">
    <cfRule type="expression" dxfId="58" priority="36">
      <formula>H17=1</formula>
    </cfRule>
  </conditionalFormatting>
  <conditionalFormatting sqref="L17">
    <cfRule type="expression" dxfId="57" priority="35">
      <formula>H17=1</formula>
    </cfRule>
  </conditionalFormatting>
  <conditionalFormatting sqref="K18">
    <cfRule type="expression" dxfId="56" priority="34">
      <formula>H18=1</formula>
    </cfRule>
  </conditionalFormatting>
  <conditionalFormatting sqref="L18">
    <cfRule type="expression" dxfId="55" priority="33">
      <formula>H18=1</formula>
    </cfRule>
  </conditionalFormatting>
  <conditionalFormatting sqref="K26">
    <cfRule type="expression" dxfId="54" priority="28">
      <formula>H26=1</formula>
    </cfRule>
  </conditionalFormatting>
  <conditionalFormatting sqref="L26">
    <cfRule type="expression" dxfId="53" priority="27">
      <formula>H26=1</formula>
    </cfRule>
  </conditionalFormatting>
  <conditionalFormatting sqref="K27">
    <cfRule type="expression" dxfId="52" priority="26">
      <formula>H27=1</formula>
    </cfRule>
  </conditionalFormatting>
  <conditionalFormatting sqref="L27">
    <cfRule type="expression" dxfId="51" priority="25">
      <formula>H27=1</formula>
    </cfRule>
  </conditionalFormatting>
  <conditionalFormatting sqref="K28">
    <cfRule type="expression" dxfId="50" priority="24">
      <formula>H28=1</formula>
    </cfRule>
  </conditionalFormatting>
  <conditionalFormatting sqref="L28">
    <cfRule type="expression" dxfId="49" priority="23">
      <formula>H28=1</formula>
    </cfRule>
  </conditionalFormatting>
  <conditionalFormatting sqref="K29">
    <cfRule type="expression" dxfId="48" priority="22">
      <formula>H29=1</formula>
    </cfRule>
  </conditionalFormatting>
  <conditionalFormatting sqref="L29">
    <cfRule type="expression" dxfId="47" priority="21">
      <formula>H29=1</formula>
    </cfRule>
  </conditionalFormatting>
  <conditionalFormatting sqref="G16">
    <cfRule type="expression" dxfId="46" priority="19">
      <formula>B16=1</formula>
    </cfRule>
  </conditionalFormatting>
  <conditionalFormatting sqref="E17">
    <cfRule type="expression" dxfId="45" priority="18">
      <formula>B17=1</formula>
    </cfRule>
  </conditionalFormatting>
  <conditionalFormatting sqref="E16">
    <cfRule type="expression" dxfId="44" priority="17">
      <formula>B16=1</formula>
    </cfRule>
  </conditionalFormatting>
  <conditionalFormatting sqref="K19">
    <cfRule type="expression" dxfId="43" priority="16">
      <formula>H19=1</formula>
    </cfRule>
  </conditionalFormatting>
  <conditionalFormatting sqref="L19">
    <cfRule type="expression" dxfId="42" priority="15">
      <formula>H19=1</formula>
    </cfRule>
  </conditionalFormatting>
  <conditionalFormatting sqref="K20">
    <cfRule type="expression" dxfId="41" priority="14">
      <formula>H20=1</formula>
    </cfRule>
  </conditionalFormatting>
  <conditionalFormatting sqref="L20">
    <cfRule type="expression" dxfId="40" priority="13">
      <formula>H20=1</formula>
    </cfRule>
  </conditionalFormatting>
  <conditionalFormatting sqref="E28">
    <cfRule type="expression" dxfId="39" priority="12">
      <formula>B28=1</formula>
    </cfRule>
  </conditionalFormatting>
  <conditionalFormatting sqref="F28">
    <cfRule type="expression" dxfId="38" priority="11">
      <formula>B28=1</formula>
    </cfRule>
  </conditionalFormatting>
  <conditionalFormatting sqref="E29">
    <cfRule type="expression" dxfId="37" priority="10">
      <formula>B29=1</formula>
    </cfRule>
  </conditionalFormatting>
  <conditionalFormatting sqref="F29">
    <cfRule type="expression" dxfId="36" priority="9">
      <formula>B29=1</formula>
    </cfRule>
  </conditionalFormatting>
  <conditionalFormatting sqref="E37">
    <cfRule type="expression" dxfId="35" priority="8">
      <formula>B37=1</formula>
    </cfRule>
  </conditionalFormatting>
  <conditionalFormatting sqref="F37">
    <cfRule type="expression" dxfId="34" priority="7">
      <formula>B37=1</formula>
    </cfRule>
  </conditionalFormatting>
  <conditionalFormatting sqref="E38">
    <cfRule type="expression" dxfId="33" priority="6">
      <formula>B38=1</formula>
    </cfRule>
  </conditionalFormatting>
  <conditionalFormatting sqref="F38">
    <cfRule type="expression" dxfId="32" priority="5">
      <formula>B38=1</formula>
    </cfRule>
  </conditionalFormatting>
  <conditionalFormatting sqref="L34:L38">
    <cfRule type="expression" dxfId="31" priority="4">
      <formula>H34=1</formula>
    </cfRule>
  </conditionalFormatting>
  <conditionalFormatting sqref="C44">
    <cfRule type="expression" dxfId="30" priority="3">
      <formula>SUM(H34:H38)=SUM(N34:N38)</formula>
    </cfRule>
  </conditionalFormatting>
  <conditionalFormatting sqref="C44:M44">
    <cfRule type="expression" dxfId="29" priority="1">
      <formula>$C$9=$Q$6</formula>
    </cfRule>
    <cfRule type="expression" dxfId="28" priority="2">
      <formula>$C$9=$Q$5</formula>
    </cfRule>
  </conditionalFormatting>
  <dataValidations count="9">
    <dataValidation type="list" allowBlank="1" showInputMessage="1" showErrorMessage="1" error="Wrong input!" prompt="Izaberite stepen porijekla elemenata" sqref="K16:K20" xr:uid="{00000000-0002-0000-2700-000001000000}">
      <formula1>$Y$4:$Y$7</formula1>
    </dataValidation>
    <dataValidation type="list" allowBlank="1" showInputMessage="1" showErrorMessage="1" error="Wrong input!" prompt="Izaberite stepen intenziteta uticaja" sqref="F25:F29 F34:F38 L25:L29 L16:L20" xr:uid="{00000000-0002-0000-2700-000002000000}">
      <formula1>$S$4:$S$7</formula1>
    </dataValidation>
    <dataValidation type="list" allowBlank="1" showInputMessage="1" showErrorMessage="1" error="Wrong input!" prompt="Izaberite stepen reprezentativnosti vodnog tijela" sqref="K25:K29" xr:uid="{00000000-0002-0000-2700-000004000000}">
      <formula1>$AK$4:$AK$7</formula1>
    </dataValidation>
    <dataValidation type="list" allowBlank="1" showInputMessage="1" showErrorMessage="1" error="Wrong input!" prompt="Please select degree of uniqueness of river stretch" sqref="E27:E29" xr:uid="{00000000-0002-0000-2700-000005000000}">
      <formula1>$AE$4:$AE$7</formula1>
    </dataValidation>
    <dataValidation type="list" allowBlank="1" showInputMessage="1" showErrorMessage="1" error="Wrong input!" prompt="Please select degree of recreational value of river stretch" sqref="E36:E38" xr:uid="{00000000-0002-0000-2700-000006000000}">
      <formula1>$AQ$4:$AQ$7</formula1>
    </dataValidation>
    <dataValidation type="list" allowBlank="1" showInputMessage="1" showErrorMessage="1" error="Wrong input!" prompt="Izaberite stepen jedinstvenosti vodnog tijela" sqref="E25:E26" xr:uid="{553B621B-AF76-4CA9-AD40-F9D2F8D77449}">
      <formula1>$AE$4:$AE$7</formula1>
    </dataValidation>
    <dataValidation type="list" allowBlank="1" showInputMessage="1" showErrorMessage="1" error="Wrong input!" prompt="Izabrite stepen rekreacijske vrijednosti vodnog tijela" sqref="E34:E35" xr:uid="{8812D2C8-7E5D-4FD5-BF75-0879613C58E8}">
      <formula1>$AQ$4:$AQ$7</formula1>
    </dataValidation>
    <dataValidation type="list" allowBlank="1" showInputMessage="1" showErrorMessage="1" error="Wrong input!" prompt="Izaberite stepen vizuelne dostupnosti" sqref="E16:F20" xr:uid="{91E57AD9-9C45-424E-A9EC-00177BCBE296}">
      <formula1>$U$4:$U$7</formula1>
    </dataValidation>
    <dataValidation type="list" allowBlank="1" showInputMessage="1" showErrorMessage="1" error="Wrong input!" prompt="Izaberita da li je kriterij primjenjiv" sqref="C9" xr:uid="{7D3DA711-BDE3-CE49-9552-741EBB5F0254}">
      <formula1>$Q$4:$Q$6</formula1>
    </dataValidation>
  </dataValidations>
  <pageMargins left="0.7" right="0.7" top="0.78740157499999996" bottom="0.78740157499999996" header="0.3" footer="0.3"/>
  <pageSetup paperSize="9"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Tabelle39"/>
  <dimension ref="B1:S33"/>
  <sheetViews>
    <sheetView showGridLines="0" workbookViewId="0">
      <selection activeCell="V24" sqref="V24"/>
    </sheetView>
  </sheetViews>
  <sheetFormatPr defaultColWidth="10.875" defaultRowHeight="15" outlineLevelCol="1" x14ac:dyDescent="0.2"/>
  <cols>
    <col min="1" max="1" width="2.875" style="80" customWidth="1"/>
    <col min="2" max="2" width="4.125" style="80" customWidth="1"/>
    <col min="3" max="3" width="9.125" style="80" customWidth="1"/>
    <col min="4" max="4" width="10.875" style="80"/>
    <col min="5" max="5" width="12.375" style="80" customWidth="1"/>
    <col min="6" max="6" width="46.125" style="80" customWidth="1"/>
    <col min="7" max="7" width="17.5" style="80" customWidth="1"/>
    <col min="8" max="9" width="4.125" style="80" customWidth="1"/>
    <col min="10" max="12" width="10.875" style="80"/>
    <col min="13" max="13" width="36" style="80" hidden="1" customWidth="1" outlineLevel="1"/>
    <col min="14" max="14" width="0" style="80" hidden="1" customWidth="1" outlineLevel="1"/>
    <col min="15" max="15" width="21.875" style="80" hidden="1" customWidth="1" outlineLevel="1"/>
    <col min="16" max="16" width="0" style="80" hidden="1" customWidth="1" outlineLevel="1"/>
    <col min="17" max="17" width="10.875" style="80" collapsed="1"/>
    <col min="18" max="16384" width="10.875" style="80"/>
  </cols>
  <sheetData>
    <row r="1" spans="2:19" s="1" customFormat="1" ht="17.100000000000001" customHeight="1" thickBot="1" x14ac:dyDescent="0.25">
      <c r="C1" s="24"/>
      <c r="D1" s="24"/>
      <c r="E1" s="24"/>
      <c r="G1" s="25"/>
      <c r="H1" s="25"/>
      <c r="K1" s="365"/>
      <c r="L1" s="365"/>
      <c r="M1" s="365"/>
      <c r="N1" s="365"/>
      <c r="O1" s="365"/>
      <c r="P1" s="365"/>
      <c r="Q1" s="365"/>
      <c r="R1" s="365"/>
      <c r="S1" s="365"/>
    </row>
    <row r="2" spans="2:19" s="1" customFormat="1" ht="14.1" customHeight="1" thickBot="1" x14ac:dyDescent="0.25">
      <c r="B2" s="182"/>
      <c r="C2" s="183"/>
      <c r="D2" s="183"/>
      <c r="E2" s="183"/>
      <c r="F2" s="184"/>
      <c r="G2" s="184"/>
      <c r="H2" s="185"/>
      <c r="K2" s="366"/>
      <c r="L2" s="365"/>
      <c r="M2" s="367" t="s">
        <v>525</v>
      </c>
      <c r="N2" s="368"/>
      <c r="O2" s="365"/>
      <c r="P2" s="365"/>
      <c r="Q2" s="365"/>
      <c r="R2" s="365"/>
      <c r="S2" s="365"/>
    </row>
    <row r="3" spans="2:19" s="1" customFormat="1" ht="17.100000000000001" customHeight="1" x14ac:dyDescent="0.2">
      <c r="B3" s="47"/>
      <c r="C3" s="186" t="s">
        <v>442</v>
      </c>
      <c r="D3" s="186"/>
      <c r="E3" s="186"/>
      <c r="F3" s="186"/>
      <c r="G3" s="186"/>
      <c r="H3" s="187"/>
      <c r="K3" s="366"/>
      <c r="L3" s="365"/>
      <c r="M3" s="369"/>
      <c r="N3" s="700">
        <v>0</v>
      </c>
      <c r="O3" s="365"/>
      <c r="P3" s="365"/>
      <c r="Q3" s="365"/>
      <c r="R3" s="365"/>
      <c r="S3" s="365"/>
    </row>
    <row r="4" spans="2:19" s="1" customFormat="1" ht="17.100000000000001" customHeight="1" thickBot="1" x14ac:dyDescent="0.25">
      <c r="B4" s="188"/>
      <c r="C4" s="189"/>
      <c r="D4" s="189"/>
      <c r="E4" s="189"/>
      <c r="F4" s="189"/>
      <c r="G4" s="189"/>
      <c r="H4" s="190"/>
      <c r="K4" s="366"/>
      <c r="L4" s="365"/>
      <c r="M4" s="370"/>
      <c r="N4" s="701">
        <v>1</v>
      </c>
      <c r="O4" s="365"/>
      <c r="P4" s="365"/>
      <c r="Q4" s="365"/>
      <c r="R4" s="365"/>
      <c r="S4" s="365"/>
    </row>
    <row r="5" spans="2:19" s="1" customFormat="1" ht="14.1" customHeight="1" thickBot="1" x14ac:dyDescent="0.25">
      <c r="K5" s="365"/>
      <c r="L5" s="365"/>
      <c r="M5" s="370"/>
      <c r="N5" s="701">
        <v>2</v>
      </c>
      <c r="O5" s="365"/>
      <c r="P5" s="365"/>
      <c r="Q5" s="365"/>
      <c r="R5" s="365"/>
      <c r="S5" s="365"/>
    </row>
    <row r="6" spans="2:19" s="1" customFormat="1" ht="13.5" thickBot="1" x14ac:dyDescent="0.25">
      <c r="B6" s="182"/>
      <c r="C6" s="184"/>
      <c r="D6" s="184"/>
      <c r="E6" s="184"/>
      <c r="F6" s="11"/>
      <c r="G6" s="11"/>
      <c r="H6" s="20"/>
      <c r="K6" s="365"/>
      <c r="L6" s="365"/>
      <c r="M6" s="370"/>
      <c r="N6" s="701">
        <v>3</v>
      </c>
      <c r="O6" s="365"/>
      <c r="P6" s="365"/>
      <c r="Q6" s="365"/>
      <c r="R6" s="365"/>
      <c r="S6" s="365"/>
    </row>
    <row r="7" spans="2:19" s="179" customFormat="1" ht="35.1" customHeight="1" thickBot="1" x14ac:dyDescent="0.25">
      <c r="B7" s="194"/>
      <c r="C7" s="208" t="s">
        <v>273</v>
      </c>
      <c r="D7" s="868" t="s">
        <v>74</v>
      </c>
      <c r="E7" s="869"/>
      <c r="F7" s="209" t="s">
        <v>493</v>
      </c>
      <c r="G7" s="38"/>
      <c r="H7" s="21"/>
      <c r="K7" s="371"/>
      <c r="L7" s="371"/>
      <c r="M7" s="370"/>
      <c r="N7" s="701">
        <v>4</v>
      </c>
      <c r="O7" s="365"/>
      <c r="P7" s="371"/>
      <c r="Q7" s="371"/>
      <c r="R7" s="371"/>
      <c r="S7" s="371"/>
    </row>
    <row r="8" spans="2:19" ht="33.950000000000003" customHeight="1" thickBot="1" x14ac:dyDescent="0.25">
      <c r="B8" s="197" t="str">
        <f>'Unos podataka'!F14</f>
        <v/>
      </c>
      <c r="C8" s="200" t="str">
        <f>'Unos podataka'!G14</f>
        <v/>
      </c>
      <c r="D8" s="870" t="str">
        <f>IF(B8&lt;&gt;"",'Unos podataka'!H14,"")</f>
        <v/>
      </c>
      <c r="E8" s="867"/>
      <c r="F8" s="703" t="s">
        <v>82</v>
      </c>
      <c r="G8" s="38"/>
      <c r="H8" s="246">
        <f>IF(F8=$N$9,1,0)</f>
        <v>1</v>
      </c>
      <c r="K8" s="372"/>
      <c r="L8" s="372"/>
      <c r="M8" s="537"/>
      <c r="N8" s="701">
        <v>5</v>
      </c>
      <c r="O8" s="365"/>
      <c r="P8" s="372"/>
      <c r="Q8" s="372"/>
      <c r="R8" s="372"/>
      <c r="S8" s="372"/>
    </row>
    <row r="9" spans="2:19" ht="33.950000000000003" customHeight="1" thickBot="1" x14ac:dyDescent="0.25">
      <c r="B9" s="197" t="str">
        <f>'Unos podataka'!F15</f>
        <v/>
      </c>
      <c r="C9" s="200" t="str">
        <f>'Unos podataka'!G15</f>
        <v/>
      </c>
      <c r="D9" s="870" t="str">
        <f>IF(B9&lt;&gt;"",'Unos podataka'!H15,"")</f>
        <v/>
      </c>
      <c r="E9" s="867"/>
      <c r="F9" s="703" t="s">
        <v>82</v>
      </c>
      <c r="G9" s="38"/>
      <c r="H9" s="246">
        <f>IF(F9=$N$9,1,0)</f>
        <v>1</v>
      </c>
      <c r="K9" s="372"/>
      <c r="L9" s="372"/>
      <c r="M9" s="538"/>
      <c r="N9" s="539" t="s">
        <v>82</v>
      </c>
      <c r="O9" s="365"/>
      <c r="P9" s="372"/>
      <c r="Q9" s="372"/>
      <c r="R9" s="372"/>
      <c r="S9" s="372"/>
    </row>
    <row r="10" spans="2:19" ht="33.950000000000003" customHeight="1" thickBot="1" x14ac:dyDescent="0.25">
      <c r="B10" s="197" t="str">
        <f>'Unos podataka'!F16</f>
        <v/>
      </c>
      <c r="C10" s="200" t="str">
        <f>'Unos podataka'!G16</f>
        <v/>
      </c>
      <c r="D10" s="870" t="str">
        <f>IF(B10&lt;&gt;"",'Unos podataka'!H16,"")</f>
        <v/>
      </c>
      <c r="E10" s="867"/>
      <c r="F10" s="703" t="s">
        <v>82</v>
      </c>
      <c r="G10" s="38"/>
      <c r="H10" s="246">
        <f t="shared" ref="H10:H12" si="0">IF(F10=$N$9,1,0)</f>
        <v>1</v>
      </c>
      <c r="K10" s="372"/>
      <c r="L10" s="372"/>
      <c r="M10" s="372"/>
      <c r="N10" s="372"/>
      <c r="O10" s="372"/>
      <c r="P10" s="372"/>
      <c r="Q10" s="372"/>
      <c r="R10" s="372"/>
      <c r="S10" s="372"/>
    </row>
    <row r="11" spans="2:19" ht="33.950000000000003" customHeight="1" thickBot="1" x14ac:dyDescent="0.25">
      <c r="B11" s="197" t="str">
        <f>'Unos podataka'!F17</f>
        <v/>
      </c>
      <c r="C11" s="200" t="str">
        <f>'Unos podataka'!G17</f>
        <v/>
      </c>
      <c r="D11" s="870" t="str">
        <f>IF(B11&lt;&gt;"",'Unos podataka'!H17,"")</f>
        <v/>
      </c>
      <c r="E11" s="867"/>
      <c r="F11" s="703" t="s">
        <v>82</v>
      </c>
      <c r="G11" s="38"/>
      <c r="H11" s="246">
        <f t="shared" si="0"/>
        <v>1</v>
      </c>
      <c r="K11" s="372"/>
      <c r="L11" s="372"/>
      <c r="M11" s="372"/>
      <c r="N11" s="372"/>
      <c r="O11" s="372"/>
      <c r="P11" s="372"/>
      <c r="Q11" s="372"/>
      <c r="R11" s="372"/>
      <c r="S11" s="372"/>
    </row>
    <row r="12" spans="2:19" ht="33.950000000000003" customHeight="1" thickBot="1" x14ac:dyDescent="0.25">
      <c r="B12" s="197" t="str">
        <f>'Unos podataka'!F18</f>
        <v/>
      </c>
      <c r="C12" s="214" t="str">
        <f>'Unos podataka'!G18</f>
        <v/>
      </c>
      <c r="D12" s="870" t="str">
        <f>IF(B12&lt;&gt;"",'Unos podataka'!H18,"")</f>
        <v/>
      </c>
      <c r="E12" s="867"/>
      <c r="F12" s="703" t="s">
        <v>82</v>
      </c>
      <c r="G12" s="38"/>
      <c r="H12" s="246">
        <f t="shared" si="0"/>
        <v>1</v>
      </c>
      <c r="K12" s="372"/>
      <c r="L12" s="372"/>
      <c r="M12" s="372"/>
      <c r="N12" s="372"/>
      <c r="O12" s="372"/>
      <c r="P12" s="372"/>
      <c r="Q12" s="372"/>
      <c r="R12" s="372"/>
      <c r="S12" s="372"/>
    </row>
    <row r="13" spans="2:19" ht="14.1" customHeight="1" thickBot="1" x14ac:dyDescent="0.25">
      <c r="B13" s="204"/>
      <c r="C13" s="51"/>
      <c r="D13" s="51"/>
      <c r="E13" s="51"/>
      <c r="F13" s="51"/>
      <c r="G13" s="51"/>
      <c r="H13" s="205"/>
      <c r="K13" s="372"/>
      <c r="L13" s="372"/>
      <c r="M13" s="372"/>
      <c r="N13" s="372"/>
      <c r="O13" s="372"/>
      <c r="P13" s="372"/>
      <c r="Q13" s="372"/>
      <c r="R13" s="372"/>
      <c r="S13" s="372"/>
    </row>
    <row r="14" spans="2:19" ht="15.75" thickBot="1" x14ac:dyDescent="0.25"/>
    <row r="15" spans="2:19" x14ac:dyDescent="0.2">
      <c r="B15" s="241"/>
      <c r="C15" s="242"/>
      <c r="D15" s="242"/>
      <c r="E15" s="242"/>
      <c r="F15" s="242"/>
      <c r="G15" s="242"/>
      <c r="H15" s="243"/>
    </row>
    <row r="16" spans="2:19" ht="18" x14ac:dyDescent="0.25">
      <c r="B16" s="45"/>
      <c r="C16" s="228" t="s">
        <v>404</v>
      </c>
      <c r="D16" s="46"/>
      <c r="E16" s="46"/>
      <c r="F16" s="46"/>
      <c r="G16" s="46"/>
      <c r="H16" s="49"/>
      <c r="M16" s="201"/>
    </row>
    <row r="17" spans="2:8" ht="15.75" thickBot="1" x14ac:dyDescent="0.25">
      <c r="B17" s="45"/>
      <c r="C17" s="46"/>
      <c r="D17" s="46"/>
      <c r="E17" s="46"/>
      <c r="F17" s="46"/>
      <c r="G17" s="46"/>
      <c r="H17" s="49"/>
    </row>
    <row r="18" spans="2:8" ht="33.950000000000003" customHeight="1" thickBot="1" x14ac:dyDescent="0.25">
      <c r="B18" s="45"/>
      <c r="C18" s="346" t="s">
        <v>379</v>
      </c>
      <c r="D18" s="916" t="s">
        <v>443</v>
      </c>
      <c r="E18" s="916"/>
      <c r="F18" s="916"/>
      <c r="G18" s="917"/>
      <c r="H18" s="244"/>
    </row>
    <row r="19" spans="2:8" ht="16.5" thickBot="1" x14ac:dyDescent="0.25">
      <c r="B19" s="45"/>
      <c r="C19" s="344"/>
      <c r="D19" s="344"/>
      <c r="E19" s="345"/>
      <c r="F19" s="345"/>
      <c r="G19" s="345"/>
      <c r="H19" s="244"/>
    </row>
    <row r="20" spans="2:8" ht="33.950000000000003" customHeight="1" thickBot="1" x14ac:dyDescent="0.25">
      <c r="B20" s="45"/>
      <c r="C20" s="346" t="s">
        <v>380</v>
      </c>
      <c r="D20" s="916" t="s">
        <v>444</v>
      </c>
      <c r="E20" s="916"/>
      <c r="F20" s="916"/>
      <c r="G20" s="917"/>
      <c r="H20" s="244"/>
    </row>
    <row r="21" spans="2:8" ht="16.5" thickBot="1" x14ac:dyDescent="0.25">
      <c r="B21" s="45"/>
      <c r="C21" s="344"/>
      <c r="D21" s="344"/>
      <c r="E21" s="345"/>
      <c r="F21" s="345"/>
      <c r="G21" s="345"/>
      <c r="H21" s="244"/>
    </row>
    <row r="22" spans="2:8" ht="51" customHeight="1" thickBot="1" x14ac:dyDescent="0.25">
      <c r="B22" s="45"/>
      <c r="C22" s="346" t="s">
        <v>381</v>
      </c>
      <c r="D22" s="916" t="s">
        <v>445</v>
      </c>
      <c r="E22" s="916"/>
      <c r="F22" s="916"/>
      <c r="G22" s="917"/>
      <c r="H22" s="244"/>
    </row>
    <row r="23" spans="2:8" ht="16.5" thickBot="1" x14ac:dyDescent="0.25">
      <c r="B23" s="45"/>
      <c r="C23" s="344"/>
      <c r="D23" s="344"/>
      <c r="E23" s="345"/>
      <c r="F23" s="345"/>
      <c r="G23" s="345"/>
      <c r="H23" s="244"/>
    </row>
    <row r="24" spans="2:8" ht="51" customHeight="1" thickBot="1" x14ac:dyDescent="0.25">
      <c r="B24" s="45"/>
      <c r="C24" s="346" t="s">
        <v>382</v>
      </c>
      <c r="D24" s="916" t="s">
        <v>446</v>
      </c>
      <c r="E24" s="916"/>
      <c r="F24" s="916"/>
      <c r="G24" s="917"/>
      <c r="H24" s="244"/>
    </row>
    <row r="25" spans="2:8" ht="16.5" thickBot="1" x14ac:dyDescent="0.25">
      <c r="B25" s="45"/>
      <c r="C25" s="344"/>
      <c r="D25" s="344"/>
      <c r="E25" s="345"/>
      <c r="F25" s="345"/>
      <c r="G25" s="345"/>
      <c r="H25" s="244"/>
    </row>
    <row r="26" spans="2:8" ht="33.950000000000003" customHeight="1" thickBot="1" x14ac:dyDescent="0.25">
      <c r="B26" s="45"/>
      <c r="C26" s="346" t="s">
        <v>383</v>
      </c>
      <c r="D26" s="916" t="s">
        <v>447</v>
      </c>
      <c r="E26" s="916"/>
      <c r="F26" s="916"/>
      <c r="G26" s="917"/>
      <c r="H26" s="244"/>
    </row>
    <row r="27" spans="2:8" ht="16.5" thickBot="1" x14ac:dyDescent="0.25">
      <c r="B27" s="45"/>
      <c r="C27" s="344"/>
      <c r="D27" s="344"/>
      <c r="E27" s="345"/>
      <c r="F27" s="345"/>
      <c r="G27" s="345"/>
      <c r="H27" s="244"/>
    </row>
    <row r="28" spans="2:8" ht="33.950000000000003" customHeight="1" thickBot="1" x14ac:dyDescent="0.25">
      <c r="B28" s="45"/>
      <c r="C28" s="346" t="s">
        <v>384</v>
      </c>
      <c r="D28" s="916" t="s">
        <v>448</v>
      </c>
      <c r="E28" s="916"/>
      <c r="F28" s="916"/>
      <c r="G28" s="917"/>
      <c r="H28" s="244"/>
    </row>
    <row r="29" spans="2:8" ht="15.75" thickBot="1" x14ac:dyDescent="0.25">
      <c r="B29" s="204"/>
      <c r="C29" s="51"/>
      <c r="D29" s="51"/>
      <c r="E29" s="51"/>
      <c r="F29" s="51"/>
      <c r="G29" s="51"/>
      <c r="H29" s="205"/>
    </row>
    <row r="30" spans="2:8" ht="15.75" thickBot="1" x14ac:dyDescent="0.25"/>
    <row r="31" spans="2:8" x14ac:dyDescent="0.2">
      <c r="B31" s="241"/>
      <c r="C31" s="242"/>
      <c r="D31" s="242"/>
      <c r="E31" s="242"/>
      <c r="F31" s="242"/>
      <c r="G31" s="242"/>
      <c r="H31" s="243"/>
    </row>
    <row r="32" spans="2:8" ht="23.25" x14ac:dyDescent="0.35">
      <c r="B32" s="45"/>
      <c r="C32" s="934" t="str">
        <f>IF(C8="","",IF(SUMPRODUCT(B8:B12,H8:H12)&lt;&gt;0,"Ocjena kriterija nije završena!", "Sva vodna tijela su ocijenjena!"))</f>
        <v/>
      </c>
      <c r="D32" s="934"/>
      <c r="E32" s="934"/>
      <c r="F32" s="934"/>
      <c r="G32" s="934"/>
      <c r="H32" s="630">
        <f>IF(C8="",0,IF(SUMPRODUCT(B8:B12,H8:H12)&lt;&gt;0,0,1))</f>
        <v>0</v>
      </c>
    </row>
    <row r="33" spans="2:8" ht="15.75" thickBot="1" x14ac:dyDescent="0.25">
      <c r="B33" s="204"/>
      <c r="C33" s="51"/>
      <c r="D33" s="51"/>
      <c r="E33" s="51"/>
      <c r="F33" s="51"/>
      <c r="G33" s="51"/>
      <c r="H33" s="205"/>
    </row>
  </sheetData>
  <sheetProtection algorithmName="SHA-512" hashValue="+/NeR1czuRF0M/GSDrCbjL4MwBmEzOC4H/dclJuLwmLC6pb0ufEM0xuQJwRMLx0CWn7DoSUoFrau0GU9PzjXNw==" saltValue="yhzY472ypH/eRXkcaT7E9Q==" spinCount="100000" sheet="1" objects="1" scenarios="1"/>
  <mergeCells count="13">
    <mergeCell ref="C32:G32"/>
    <mergeCell ref="D18:G18"/>
    <mergeCell ref="D20:G20"/>
    <mergeCell ref="D22:G22"/>
    <mergeCell ref="D24:G24"/>
    <mergeCell ref="D26:G26"/>
    <mergeCell ref="D28:G28"/>
    <mergeCell ref="D12:E12"/>
    <mergeCell ref="D7:E7"/>
    <mergeCell ref="D8:E8"/>
    <mergeCell ref="D9:E9"/>
    <mergeCell ref="D10:E10"/>
    <mergeCell ref="D11:E11"/>
  </mergeCells>
  <conditionalFormatting sqref="C8:C12">
    <cfRule type="expression" dxfId="27" priority="7">
      <formula>$C8="n.a."</formula>
    </cfRule>
  </conditionalFormatting>
  <conditionalFormatting sqref="C32:G32">
    <cfRule type="expression" dxfId="26" priority="5">
      <formula>SUMPRODUCT($B$8:$B$12,$H$8:$H$12)=0</formula>
    </cfRule>
  </conditionalFormatting>
  <conditionalFormatting sqref="F8">
    <cfRule type="expression" dxfId="25" priority="3">
      <formula>B8=""</formula>
    </cfRule>
  </conditionalFormatting>
  <conditionalFormatting sqref="F8">
    <cfRule type="expression" dxfId="24" priority="4">
      <formula>F8=$N$9</formula>
    </cfRule>
  </conditionalFormatting>
  <conditionalFormatting sqref="F9:F12">
    <cfRule type="expression" dxfId="23" priority="1">
      <formula>B9=""</formula>
    </cfRule>
  </conditionalFormatting>
  <conditionalFormatting sqref="F9:F12">
    <cfRule type="expression" dxfId="22" priority="2">
      <formula>F9=$N$9</formula>
    </cfRule>
  </conditionalFormatting>
  <dataValidations count="1">
    <dataValidation type="list" allowBlank="1" showInputMessage="1" showErrorMessage="1" error="Wrong input!" prompt="Izaberite " sqref="F8:F12" xr:uid="{00000000-0002-0000-2800-000000000000}">
      <formula1>$N$3:$N$9</formula1>
    </dataValidation>
  </dataValidations>
  <pageMargins left="0.7" right="0.7" top="0.78740157499999996" bottom="0.78740157499999996"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8">
    <tabColor rgb="FFFF0000"/>
  </sheetPr>
  <dimension ref="A1:S22"/>
  <sheetViews>
    <sheetView showGridLines="0" zoomScale="90" zoomScaleNormal="90" workbookViewId="0">
      <selection activeCell="G9" sqref="G9"/>
    </sheetView>
  </sheetViews>
  <sheetFormatPr defaultColWidth="11" defaultRowHeight="15.75" outlineLevelCol="1" x14ac:dyDescent="0.25"/>
  <cols>
    <col min="1" max="1" width="4.125" style="718" customWidth="1"/>
    <col min="2" max="2" width="3.375" style="718" customWidth="1"/>
    <col min="3" max="3" width="16.125" style="718" customWidth="1"/>
    <col min="4" max="4" width="3.375" style="718" customWidth="1"/>
    <col min="5" max="5" width="49.5" style="718" customWidth="1"/>
    <col min="6" max="6" width="3.375" style="718" customWidth="1"/>
    <col min="7" max="7" width="12.5" style="718" customWidth="1"/>
    <col min="8" max="8" width="3.375" style="718" customWidth="1"/>
    <col min="9" max="12" width="11" style="718"/>
    <col min="13" max="13" width="14.5" style="718" hidden="1" customWidth="1" outlineLevel="1"/>
    <col min="14" max="14" width="0" style="718" hidden="1" customWidth="1" collapsed="1"/>
    <col min="15" max="15" width="14" style="718" hidden="1" customWidth="1"/>
    <col min="16" max="16384" width="11" style="718"/>
  </cols>
  <sheetData>
    <row r="1" spans="1:19" ht="16.5" thickBot="1" x14ac:dyDescent="0.3"/>
    <row r="2" spans="1:19" x14ac:dyDescent="0.25">
      <c r="A2" s="719"/>
      <c r="B2" s="720"/>
      <c r="C2" s="721"/>
      <c r="D2" s="721"/>
      <c r="E2" s="721"/>
      <c r="F2" s="721"/>
      <c r="G2" s="721"/>
      <c r="H2" s="722"/>
      <c r="K2" s="723"/>
      <c r="L2" s="723"/>
      <c r="M2" s="723"/>
      <c r="N2" s="723"/>
    </row>
    <row r="3" spans="1:19" ht="18" x14ac:dyDescent="0.25">
      <c r="A3" s="719"/>
      <c r="B3" s="724"/>
      <c r="C3" s="756" t="s">
        <v>77</v>
      </c>
      <c r="D3" s="757"/>
      <c r="E3" s="757"/>
      <c r="F3" s="725"/>
      <c r="G3" s="725"/>
      <c r="H3" s="726"/>
      <c r="K3" s="723"/>
      <c r="L3" s="723"/>
      <c r="M3" s="723"/>
      <c r="N3" s="723"/>
    </row>
    <row r="4" spans="1:19" ht="16.5" thickBot="1" x14ac:dyDescent="0.3">
      <c r="A4" s="719"/>
      <c r="B4" s="727"/>
      <c r="C4" s="728"/>
      <c r="D4" s="728"/>
      <c r="E4" s="728"/>
      <c r="F4" s="728"/>
      <c r="G4" s="728"/>
      <c r="H4" s="729"/>
      <c r="K4" s="723"/>
      <c r="L4" s="723"/>
      <c r="M4" s="723" t="s">
        <v>511</v>
      </c>
      <c r="N4" s="723"/>
    </row>
    <row r="5" spans="1:19" ht="16.5" thickBot="1" x14ac:dyDescent="0.3">
      <c r="M5" s="730" t="s">
        <v>83</v>
      </c>
      <c r="N5" s="731">
        <v>1</v>
      </c>
      <c r="O5" s="730" t="s">
        <v>84</v>
      </c>
    </row>
    <row r="6" spans="1:19" ht="16.5" thickBot="1" x14ac:dyDescent="0.3">
      <c r="B6" s="758"/>
      <c r="C6" s="759"/>
      <c r="D6" s="760"/>
      <c r="E6" s="759"/>
      <c r="F6" s="733"/>
      <c r="G6" s="732"/>
      <c r="H6" s="734"/>
      <c r="M6" s="730" t="s">
        <v>84</v>
      </c>
      <c r="N6" s="731">
        <v>2</v>
      </c>
      <c r="O6" s="730" t="s">
        <v>83</v>
      </c>
    </row>
    <row r="7" spans="1:19" ht="17.100000000000001" customHeight="1" thickBot="1" x14ac:dyDescent="0.3">
      <c r="B7" s="761"/>
      <c r="C7" s="762" t="s">
        <v>78</v>
      </c>
      <c r="D7" s="763"/>
      <c r="E7" s="762" t="s">
        <v>79</v>
      </c>
      <c r="F7" s="736"/>
      <c r="G7" s="735" t="s">
        <v>80</v>
      </c>
      <c r="H7" s="737"/>
      <c r="M7" s="730" t="s">
        <v>86</v>
      </c>
      <c r="N7" s="731">
        <v>3</v>
      </c>
      <c r="O7" s="730" t="s">
        <v>86</v>
      </c>
    </row>
    <row r="8" spans="1:19" ht="16.5" thickBot="1" x14ac:dyDescent="0.3">
      <c r="B8" s="761"/>
      <c r="C8" s="764"/>
      <c r="D8" s="764"/>
      <c r="E8" s="764"/>
      <c r="F8" s="738"/>
      <c r="G8" s="738"/>
      <c r="H8" s="739"/>
    </row>
    <row r="9" spans="1:19" ht="32.25" thickBot="1" x14ac:dyDescent="0.3">
      <c r="B9" s="761"/>
      <c r="C9" s="765" t="s">
        <v>44</v>
      </c>
      <c r="D9" s="763"/>
      <c r="E9" s="765" t="s">
        <v>81</v>
      </c>
      <c r="F9" s="736"/>
      <c r="G9" s="740" t="s">
        <v>86</v>
      </c>
      <c r="H9" s="741">
        <f>MATCH(G9,$M$5:$M$7,0)</f>
        <v>3</v>
      </c>
      <c r="J9" s="742"/>
      <c r="K9" s="743"/>
      <c r="L9" s="743"/>
      <c r="M9" s="743"/>
      <c r="N9" s="743"/>
      <c r="O9" s="743"/>
      <c r="P9" s="743"/>
      <c r="Q9" s="743"/>
      <c r="R9" s="743"/>
      <c r="S9" s="743"/>
    </row>
    <row r="10" spans="1:19" ht="16.5" thickBot="1" x14ac:dyDescent="0.3">
      <c r="B10" s="761"/>
      <c r="C10" s="763"/>
      <c r="D10" s="763"/>
      <c r="E10" s="763"/>
      <c r="F10" s="736"/>
      <c r="G10" s="736"/>
      <c r="H10" s="741"/>
      <c r="J10" s="744"/>
    </row>
    <row r="11" spans="1:19" ht="32.25" thickBot="1" x14ac:dyDescent="0.3">
      <c r="B11" s="761"/>
      <c r="C11" s="765" t="s">
        <v>56</v>
      </c>
      <c r="D11" s="763"/>
      <c r="E11" s="765" t="s">
        <v>151</v>
      </c>
      <c r="F11" s="736"/>
      <c r="G11" s="740" t="s">
        <v>86</v>
      </c>
      <c r="H11" s="741">
        <f>MATCH(G11,$O$5:$O$7,0)</f>
        <v>3</v>
      </c>
    </row>
    <row r="12" spans="1:19" ht="16.5" thickBot="1" x14ac:dyDescent="0.3">
      <c r="B12" s="761"/>
      <c r="C12" s="763"/>
      <c r="D12" s="763"/>
      <c r="E12" s="763"/>
      <c r="F12" s="736"/>
      <c r="G12" s="736"/>
      <c r="H12" s="741"/>
      <c r="J12" s="744"/>
    </row>
    <row r="13" spans="1:19" ht="35.1" customHeight="1" thickBot="1" x14ac:dyDescent="0.3">
      <c r="B13" s="761"/>
      <c r="C13" s="765" t="s">
        <v>45</v>
      </c>
      <c r="D13" s="763"/>
      <c r="E13" s="765" t="s">
        <v>152</v>
      </c>
      <c r="F13" s="736"/>
      <c r="G13" s="740" t="s">
        <v>86</v>
      </c>
      <c r="H13" s="741">
        <f>MATCH(G13,$M$5:$M$7,0)</f>
        <v>3</v>
      </c>
    </row>
    <row r="14" spans="1:19" ht="16.5" thickBot="1" x14ac:dyDescent="0.3">
      <c r="B14" s="761"/>
      <c r="C14" s="763"/>
      <c r="D14" s="763"/>
      <c r="E14" s="763"/>
      <c r="F14" s="736"/>
      <c r="G14" s="736"/>
      <c r="H14" s="741"/>
      <c r="J14" s="744"/>
    </row>
    <row r="15" spans="1:19" ht="35.1" customHeight="1" thickBot="1" x14ac:dyDescent="0.3">
      <c r="B15" s="761"/>
      <c r="C15" s="765" t="s">
        <v>45</v>
      </c>
      <c r="D15" s="763"/>
      <c r="E15" s="765" t="s">
        <v>153</v>
      </c>
      <c r="F15" s="736"/>
      <c r="G15" s="740" t="s">
        <v>86</v>
      </c>
      <c r="H15" s="741">
        <f>MATCH(G15,$O$5:$O$7,0)</f>
        <v>3</v>
      </c>
    </row>
    <row r="16" spans="1:19" ht="16.5" thickBot="1" x14ac:dyDescent="0.3">
      <c r="B16" s="761"/>
      <c r="C16" s="763"/>
      <c r="D16" s="763"/>
      <c r="E16" s="763"/>
      <c r="F16" s="736"/>
      <c r="G16" s="736"/>
      <c r="H16" s="741"/>
      <c r="J16" s="744"/>
    </row>
    <row r="17" spans="2:10" ht="35.1" customHeight="1" thickBot="1" x14ac:dyDescent="0.3">
      <c r="B17" s="761"/>
      <c r="C17" s="765" t="s">
        <v>46</v>
      </c>
      <c r="D17" s="763"/>
      <c r="E17" s="765" t="s">
        <v>515</v>
      </c>
      <c r="F17" s="736"/>
      <c r="G17" s="740" t="s">
        <v>86</v>
      </c>
      <c r="H17" s="741">
        <f>MATCH(G17,$O$5:$O$7,0)</f>
        <v>3</v>
      </c>
    </row>
    <row r="18" spans="2:10" ht="16.5" thickBot="1" x14ac:dyDescent="0.3">
      <c r="B18" s="745"/>
      <c r="C18" s="746"/>
      <c r="D18" s="746"/>
      <c r="E18" s="746"/>
      <c r="F18" s="746"/>
      <c r="G18" s="746"/>
      <c r="H18" s="747"/>
      <c r="J18" s="744"/>
    </row>
    <row r="19" spans="2:10" ht="16.5" thickBot="1" x14ac:dyDescent="0.3"/>
    <row r="20" spans="2:10" ht="17.100000000000001" customHeight="1" x14ac:dyDescent="0.25">
      <c r="B20" s="748"/>
      <c r="C20" s="749"/>
      <c r="D20" s="749"/>
      <c r="E20" s="749"/>
      <c r="F20" s="749"/>
      <c r="G20" s="749"/>
      <c r="H20" s="750"/>
    </row>
    <row r="21" spans="2:10" ht="45" customHeight="1" x14ac:dyDescent="0.25">
      <c r="B21" s="751"/>
      <c r="C21" s="792" t="str">
        <f>IF(MAX(H9:H17)=3,"Ocjena eliminatornih kriterija nije završena!",IF(MAX(H9:H17)=2,"Isključeno iz daljnje ocjene!","Nema eliminatornih kriterija - nastavite sa ocjenom"))</f>
        <v>Ocjena eliminatornih kriterija nije završena!</v>
      </c>
      <c r="D21" s="792"/>
      <c r="E21" s="792"/>
      <c r="F21" s="792"/>
      <c r="G21" s="792"/>
      <c r="H21" s="752"/>
    </row>
    <row r="22" spans="2:10" ht="17.100000000000001" customHeight="1" thickBot="1" x14ac:dyDescent="0.3">
      <c r="B22" s="753"/>
      <c r="C22" s="754"/>
      <c r="D22" s="754"/>
      <c r="E22" s="754"/>
      <c r="F22" s="754"/>
      <c r="G22" s="754"/>
      <c r="H22" s="755"/>
    </row>
  </sheetData>
  <sheetProtection algorithmName="SHA-512" hashValue="k/SgvC4wcy8sSYYWKlesPjMONiPXVjHEzFcoQn4snBdP5ghMRoXx9QQBBu7AW6F+RQWW5X3kmnQS6u2WAfM7ZA==" saltValue="IXUcxhfZu3L7lBtTUYRyrg==" spinCount="100000" sheet="1" objects="1" scenarios="1"/>
  <mergeCells count="1">
    <mergeCell ref="C21:G21"/>
  </mergeCells>
  <conditionalFormatting sqref="G9">
    <cfRule type="colorScale" priority="5">
      <colorScale>
        <cfvo type="num" val="1"/>
        <cfvo type="num" val="2"/>
        <color rgb="FFFF0000"/>
        <color rgb="FF00B050"/>
      </colorScale>
    </cfRule>
    <cfRule type="containsText" dxfId="239" priority="23" operator="containsText" text="ne">
      <formula>NOT(ISERROR(SEARCH("ne",G9)))</formula>
    </cfRule>
    <cfRule type="containsText" dxfId="238" priority="24" operator="containsText" text="da">
      <formula>NOT(ISERROR(SEARCH("da",G9)))</formula>
    </cfRule>
  </conditionalFormatting>
  <conditionalFormatting sqref="G11">
    <cfRule type="containsText" dxfId="237" priority="21" operator="containsText" text="ne">
      <formula>NOT(ISERROR(SEARCH("ne",G11)))</formula>
    </cfRule>
    <cfRule type="containsText" dxfId="236" priority="22" operator="containsText" text="da">
      <formula>NOT(ISERROR(SEARCH("da",G11)))</formula>
    </cfRule>
  </conditionalFormatting>
  <conditionalFormatting sqref="G13">
    <cfRule type="containsText" dxfId="235" priority="15" operator="containsText" text="ne">
      <formula>NOT(ISERROR(SEARCH("ne",G13)))</formula>
    </cfRule>
    <cfRule type="containsText" dxfId="234" priority="16" operator="containsText" text="da">
      <formula>NOT(ISERROR(SEARCH("da",G13)))</formula>
    </cfRule>
  </conditionalFormatting>
  <conditionalFormatting sqref="G15">
    <cfRule type="containsText" dxfId="233" priority="9" operator="containsText" text="ne">
      <formula>NOT(ISERROR(SEARCH("ne",G15)))</formula>
    </cfRule>
    <cfRule type="containsText" dxfId="232" priority="10" operator="containsText" text="da">
      <formula>NOT(ISERROR(SEARCH("da",G15)))</formula>
    </cfRule>
  </conditionalFormatting>
  <conditionalFormatting sqref="C21">
    <cfRule type="expression" dxfId="231" priority="7">
      <formula>MAX($H$9:$H$17)=1</formula>
    </cfRule>
  </conditionalFormatting>
  <conditionalFormatting sqref="G17">
    <cfRule type="containsText" dxfId="230" priority="1" operator="containsText" text="ne">
      <formula>NOT(ISERROR(SEARCH("ne",G17)))</formula>
    </cfRule>
    <cfRule type="containsText" dxfId="229" priority="2" operator="containsText" text="da">
      <formula>NOT(ISERROR(SEARCH("da",G17)))</formula>
    </cfRule>
  </conditionalFormatting>
  <dataValidations count="1">
    <dataValidation type="list" allowBlank="1" showInputMessage="1" showErrorMessage="1" error="only yes and no allowed!" prompt="Izaberite da ili ne" sqref="G15 G9 G11 G13 G17" xr:uid="{00000000-0002-0000-0300-000000000000}">
      <formula1>$M$5:$M$7</formula1>
    </dataValidation>
  </dataValidations>
  <pageMargins left="0.7" right="0.7" top="0.78740157499999996" bottom="0.78740157499999996" header="0.3" footer="0.3"/>
  <pageSetup paperSize="9" orientation="portrait"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Tabelle40"/>
  <dimension ref="B1:O17"/>
  <sheetViews>
    <sheetView showGridLines="0" zoomScaleNormal="100" workbookViewId="0">
      <selection activeCell="F8" sqref="F8"/>
    </sheetView>
  </sheetViews>
  <sheetFormatPr defaultColWidth="10.875" defaultRowHeight="15" outlineLevelCol="1" x14ac:dyDescent="0.2"/>
  <cols>
    <col min="1" max="1" width="2.875" style="80" customWidth="1"/>
    <col min="2" max="2" width="4.125" style="80" customWidth="1"/>
    <col min="3" max="3" width="9" style="80" customWidth="1"/>
    <col min="4" max="4" width="10.875" style="80"/>
    <col min="5" max="5" width="12.375" style="80" customWidth="1"/>
    <col min="6" max="6" width="36.125" style="80" customWidth="1"/>
    <col min="7" max="7" width="17.5" style="80" customWidth="1"/>
    <col min="8" max="8" width="4.125" style="80" customWidth="1"/>
    <col min="9" max="11" width="10.875" style="80"/>
    <col min="12" max="12" width="30.375" style="80" hidden="1" customWidth="1" outlineLevel="1"/>
    <col min="13" max="13" width="0" style="80" hidden="1" customWidth="1" outlineLevel="1"/>
    <col min="14" max="14" width="59.625" style="80" hidden="1" customWidth="1" outlineLevel="1"/>
    <col min="15" max="15" width="10.875" style="80" collapsed="1"/>
    <col min="16" max="16384" width="10.875" style="80"/>
  </cols>
  <sheetData>
    <row r="1" spans="2:14" s="1" customFormat="1" ht="17.100000000000001" customHeight="1" thickBot="1" x14ac:dyDescent="0.25">
      <c r="C1" s="24"/>
      <c r="D1" s="24"/>
      <c r="E1" s="24"/>
      <c r="G1" s="25"/>
    </row>
    <row r="2" spans="2:14" s="1" customFormat="1" ht="14.1" customHeight="1" thickBot="1" x14ac:dyDescent="0.25">
      <c r="B2" s="182"/>
      <c r="C2" s="183"/>
      <c r="D2" s="183"/>
      <c r="E2" s="183"/>
      <c r="F2" s="184"/>
      <c r="G2" s="184"/>
      <c r="H2" s="185"/>
      <c r="J2" s="25"/>
      <c r="L2" s="182" t="s">
        <v>509</v>
      </c>
      <c r="M2" s="184"/>
      <c r="N2" s="185"/>
    </row>
    <row r="3" spans="2:14" s="1" customFormat="1" ht="17.100000000000001" customHeight="1" x14ac:dyDescent="0.2">
      <c r="B3" s="47"/>
      <c r="C3" s="186" t="s">
        <v>449</v>
      </c>
      <c r="D3" s="186"/>
      <c r="E3" s="186"/>
      <c r="F3" s="186"/>
      <c r="G3" s="186"/>
      <c r="H3" s="187"/>
      <c r="J3" s="25"/>
      <c r="L3" s="217" t="s">
        <v>83</v>
      </c>
      <c r="M3" s="218">
        <v>0</v>
      </c>
      <c r="N3" s="219" t="s">
        <v>451</v>
      </c>
    </row>
    <row r="4" spans="2:14" s="1" customFormat="1" ht="17.100000000000001" customHeight="1" thickBot="1" x14ac:dyDescent="0.25">
      <c r="B4" s="188"/>
      <c r="C4" s="189"/>
      <c r="D4" s="189"/>
      <c r="E4" s="189"/>
      <c r="F4" s="189"/>
      <c r="G4" s="189"/>
      <c r="H4" s="190"/>
      <c r="J4" s="25"/>
      <c r="L4" s="220" t="s">
        <v>84</v>
      </c>
      <c r="M4" s="216" t="s">
        <v>450</v>
      </c>
      <c r="N4" s="221" t="s">
        <v>452</v>
      </c>
    </row>
    <row r="5" spans="2:14" s="1" customFormat="1" ht="14.1" customHeight="1" thickBot="1" x14ac:dyDescent="0.25">
      <c r="L5" s="220" t="s">
        <v>82</v>
      </c>
      <c r="M5" s="216"/>
      <c r="N5" s="221"/>
    </row>
    <row r="6" spans="2:14" s="1" customFormat="1" ht="13.5" thickBot="1" x14ac:dyDescent="0.25">
      <c r="B6" s="182"/>
      <c r="C6" s="184"/>
      <c r="D6" s="184"/>
      <c r="E6" s="184"/>
      <c r="F6" s="11"/>
      <c r="G6" s="11"/>
      <c r="H6" s="20"/>
      <c r="L6" s="222" t="s">
        <v>199</v>
      </c>
      <c r="M6" s="223"/>
      <c r="N6" s="224"/>
    </row>
    <row r="7" spans="2:14" s="179" customFormat="1" ht="35.1" customHeight="1" thickBot="1" x14ac:dyDescent="0.25">
      <c r="B7" s="194"/>
      <c r="C7" s="208" t="s">
        <v>273</v>
      </c>
      <c r="D7" s="868" t="s">
        <v>74</v>
      </c>
      <c r="E7" s="869"/>
      <c r="F7" s="208" t="s">
        <v>453</v>
      </c>
      <c r="G7" s="209" t="s">
        <v>493</v>
      </c>
      <c r="H7" s="21"/>
    </row>
    <row r="8" spans="2:14" ht="33.950000000000003" customHeight="1" thickBot="1" x14ac:dyDescent="0.25">
      <c r="B8" s="197" t="str">
        <f>'Unos podataka'!F14</f>
        <v/>
      </c>
      <c r="C8" s="200" t="str">
        <f>'Unos podataka'!G14</f>
        <v/>
      </c>
      <c r="D8" s="870" t="str">
        <f>IF(B8&lt;&gt;"",'Unos podataka'!H14,"")</f>
        <v/>
      </c>
      <c r="E8" s="867"/>
      <c r="F8" s="598" t="s">
        <v>82</v>
      </c>
      <c r="G8" s="706" t="str">
        <f>IF(F8=$L$3,0,IF(F8=$L$5,"",$L$6))</f>
        <v/>
      </c>
      <c r="H8" s="246">
        <f>IF(F8=$L$5,1,0)</f>
        <v>1</v>
      </c>
    </row>
    <row r="9" spans="2:14" ht="33.950000000000003" customHeight="1" thickBot="1" x14ac:dyDescent="0.25">
      <c r="B9" s="197" t="str">
        <f>'Unos podataka'!F15</f>
        <v/>
      </c>
      <c r="C9" s="200" t="str">
        <f>'Unos podataka'!G15</f>
        <v/>
      </c>
      <c r="D9" s="870" t="str">
        <f>IF(B9&lt;&gt;"",'Unos podataka'!H15,"")</f>
        <v/>
      </c>
      <c r="E9" s="867"/>
      <c r="F9" s="598" t="s">
        <v>82</v>
      </c>
      <c r="G9" s="706" t="str">
        <f>IF(F9=$L$3,0,IF(F9=$L$5,"",$L$6))</f>
        <v/>
      </c>
      <c r="H9" s="246">
        <f>IF(F9=$L$5,1,0)</f>
        <v>1</v>
      </c>
    </row>
    <row r="10" spans="2:14" ht="33.950000000000003" customHeight="1" thickBot="1" x14ac:dyDescent="0.25">
      <c r="B10" s="197" t="str">
        <f>'Unos podataka'!F16</f>
        <v/>
      </c>
      <c r="C10" s="200" t="str">
        <f>'Unos podataka'!G16</f>
        <v/>
      </c>
      <c r="D10" s="870" t="str">
        <f>IF(B10&lt;&gt;"",'Unos podataka'!H16,"")</f>
        <v/>
      </c>
      <c r="E10" s="867"/>
      <c r="F10" s="598" t="s">
        <v>82</v>
      </c>
      <c r="G10" s="706" t="str">
        <f>IF(F10=$L$3,0,IF(F10=$L$5,"",$L$6))</f>
        <v/>
      </c>
      <c r="H10" s="246">
        <f>IF(F10=$L$5,1,0)</f>
        <v>1</v>
      </c>
    </row>
    <row r="11" spans="2:14" ht="33.950000000000003" customHeight="1" thickBot="1" x14ac:dyDescent="0.25">
      <c r="B11" s="197" t="str">
        <f>'Unos podataka'!F17</f>
        <v/>
      </c>
      <c r="C11" s="200" t="str">
        <f>'Unos podataka'!G17</f>
        <v/>
      </c>
      <c r="D11" s="870" t="str">
        <f>IF(B11&lt;&gt;"",'Unos podataka'!H17,"")</f>
        <v/>
      </c>
      <c r="E11" s="867"/>
      <c r="F11" s="598" t="s">
        <v>82</v>
      </c>
      <c r="G11" s="706" t="str">
        <f>IF(F11=$L$3,0,IF(F11=$L$5,"",$L$6))</f>
        <v/>
      </c>
      <c r="H11" s="246">
        <f>IF(F11=$L$5,1,0)</f>
        <v>1</v>
      </c>
    </row>
    <row r="12" spans="2:14" ht="33.950000000000003" customHeight="1" thickBot="1" x14ac:dyDescent="0.25">
      <c r="B12" s="197" t="str">
        <f>'Unos podataka'!F18</f>
        <v/>
      </c>
      <c r="C12" s="200" t="str">
        <f>'Unos podataka'!G18</f>
        <v/>
      </c>
      <c r="D12" s="870" t="str">
        <f>IF(B12&lt;&gt;"",'Unos podataka'!H18,"")</f>
        <v/>
      </c>
      <c r="E12" s="867"/>
      <c r="F12" s="598" t="s">
        <v>82</v>
      </c>
      <c r="G12" s="706" t="str">
        <f>IF(F12=$L$3,0,IF(F12=$L$5,"",$L$6))</f>
        <v/>
      </c>
      <c r="H12" s="246">
        <f>IF(F12=$L$5,1,0)</f>
        <v>1</v>
      </c>
    </row>
    <row r="13" spans="2:14" ht="15.75" thickBot="1" x14ac:dyDescent="0.25">
      <c r="B13" s="204"/>
      <c r="C13" s="51"/>
      <c r="D13" s="51"/>
      <c r="E13" s="51"/>
      <c r="F13" s="51"/>
      <c r="G13" s="51"/>
      <c r="H13" s="205"/>
    </row>
    <row r="14" spans="2:14" ht="15.75" thickBot="1" x14ac:dyDescent="0.25"/>
    <row r="15" spans="2:14" x14ac:dyDescent="0.2">
      <c r="B15" s="241"/>
      <c r="C15" s="242"/>
      <c r="D15" s="242"/>
      <c r="E15" s="242"/>
      <c r="F15" s="242"/>
      <c r="G15" s="242"/>
      <c r="H15" s="243"/>
    </row>
    <row r="16" spans="2:14" ht="23.25" x14ac:dyDescent="0.35">
      <c r="B16" s="45"/>
      <c r="C16" s="934" t="str">
        <f>IF(C8="","",IF(SUMPRODUCT(B8:B12,H8:H12)&lt;&gt;0,"Ocjena kriterija nije završena!", "Sva vodna tijela su ocijenjena!"))</f>
        <v/>
      </c>
      <c r="D16" s="934"/>
      <c r="E16" s="934"/>
      <c r="F16" s="934"/>
      <c r="G16" s="934"/>
      <c r="H16" s="629">
        <f>IF(C8="",0,IF(SUMPRODUCT(B8:B12,H8:H12)&lt;&gt;0,0,1))</f>
        <v>0</v>
      </c>
    </row>
    <row r="17" spans="2:8" ht="15.75" thickBot="1" x14ac:dyDescent="0.25">
      <c r="B17" s="204"/>
      <c r="C17" s="51"/>
      <c r="D17" s="51"/>
      <c r="E17" s="51"/>
      <c r="F17" s="51"/>
      <c r="G17" s="51"/>
      <c r="H17" s="205"/>
    </row>
  </sheetData>
  <sheetProtection algorithmName="SHA-512" hashValue="UGkNVgUKYhrGpqrh8mtc9Y1EAFsy9Q9Aunb8pJReAvoeg/mMLWWbg7jXUtmY7Gpya/wPFtPqsHgN451H7f2/WA==" saltValue="pQUVgvcEJ2+TnTRakC42QA==" spinCount="100000" sheet="1" objects="1" scenarios="1"/>
  <mergeCells count="7">
    <mergeCell ref="C16:G16"/>
    <mergeCell ref="D7:E7"/>
    <mergeCell ref="D8:E8"/>
    <mergeCell ref="D9:E9"/>
    <mergeCell ref="D10:E10"/>
    <mergeCell ref="D11:E11"/>
    <mergeCell ref="D12:E12"/>
  </mergeCells>
  <conditionalFormatting sqref="C8:C12">
    <cfRule type="expression" dxfId="21" priority="10">
      <formula>$C8="n.a."</formula>
    </cfRule>
  </conditionalFormatting>
  <conditionalFormatting sqref="F8:F12">
    <cfRule type="expression" dxfId="20" priority="9">
      <formula>B8&lt;&gt;1</formula>
    </cfRule>
  </conditionalFormatting>
  <conditionalFormatting sqref="G8:G12">
    <cfRule type="expression" dxfId="19" priority="8">
      <formula>B8&lt;&gt;1</formula>
    </cfRule>
  </conditionalFormatting>
  <conditionalFormatting sqref="C16">
    <cfRule type="expression" dxfId="18" priority="82">
      <formula>SUMPRODUCT($B$8:$B$12,$H$8:$H$12)=0</formula>
    </cfRule>
  </conditionalFormatting>
  <conditionalFormatting sqref="G8:G12">
    <cfRule type="expression" dxfId="17" priority="1">
      <formula>G8=0</formula>
    </cfRule>
  </conditionalFormatting>
  <dataValidations count="1">
    <dataValidation type="list" allowBlank="1" showInputMessage="1" showErrorMessage="1" error="Wrong input!" prompt="Izaberite da li je projekat planiran na osjetljivom tipu voda" sqref="F9:F12 F8" xr:uid="{00000000-0002-0000-2900-000000000000}">
      <formula1>$L$3:$L$5</formula1>
    </dataValidation>
  </dataValidations>
  <pageMargins left="0.7" right="0.7" top="0.78740157499999996" bottom="0.78740157499999996"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codeName="Tabelle41"/>
  <dimension ref="B1:Q28"/>
  <sheetViews>
    <sheetView showGridLines="0" zoomScaleNormal="100" workbookViewId="0">
      <selection activeCell="Q26" sqref="Q26"/>
    </sheetView>
  </sheetViews>
  <sheetFormatPr defaultColWidth="10.875" defaultRowHeight="15" outlineLevelCol="1" x14ac:dyDescent="0.2"/>
  <cols>
    <col min="1" max="1" width="2.875" style="80" customWidth="1"/>
    <col min="2" max="2" width="4.125" style="80" customWidth="1"/>
    <col min="3" max="3" width="9" style="80" customWidth="1"/>
    <col min="4" max="4" width="10.875" style="80"/>
    <col min="5" max="5" width="12.375" style="80" customWidth="1"/>
    <col min="6" max="6" width="50.375" style="80" customWidth="1"/>
    <col min="7" max="7" width="17.5" style="80" customWidth="1"/>
    <col min="8" max="8" width="4.125" style="80" customWidth="1"/>
    <col min="9" max="11" width="10.875" style="80"/>
    <col min="12" max="12" width="30.375" style="80" customWidth="1"/>
    <col min="13" max="13" width="10.875" style="80"/>
    <col min="14" max="14" width="21.625" style="80" hidden="1" customWidth="1" outlineLevel="1"/>
    <col min="15" max="15" width="10.875" style="80" hidden="1" customWidth="1" outlineLevel="1"/>
    <col min="16" max="16" width="12.375" style="80" hidden="1" customWidth="1" outlineLevel="1"/>
    <col min="17" max="17" width="10.875" style="80" collapsed="1"/>
    <col min="18" max="16384" width="10.875" style="80"/>
  </cols>
  <sheetData>
    <row r="1" spans="2:16" s="1" customFormat="1" ht="17.100000000000001" customHeight="1" thickBot="1" x14ac:dyDescent="0.25">
      <c r="C1" s="24"/>
      <c r="D1" s="24"/>
      <c r="E1" s="24"/>
      <c r="G1" s="25"/>
    </row>
    <row r="2" spans="2:16" s="1" customFormat="1" ht="14.1" customHeight="1" thickBot="1" x14ac:dyDescent="0.25">
      <c r="B2" s="182"/>
      <c r="C2" s="183"/>
      <c r="D2" s="183"/>
      <c r="E2" s="183"/>
      <c r="F2" s="184"/>
      <c r="G2" s="184"/>
      <c r="H2" s="185"/>
      <c r="J2" s="25"/>
      <c r="N2" s="182" t="s">
        <v>482</v>
      </c>
      <c r="O2" s="184"/>
      <c r="P2" s="185"/>
    </row>
    <row r="3" spans="2:16" s="1" customFormat="1" ht="17.100000000000001" customHeight="1" x14ac:dyDescent="0.2">
      <c r="B3" s="47"/>
      <c r="C3" s="186" t="s">
        <v>454</v>
      </c>
      <c r="D3" s="186"/>
      <c r="E3" s="186"/>
      <c r="F3" s="186"/>
      <c r="G3" s="186"/>
      <c r="H3" s="187"/>
      <c r="J3" s="25"/>
      <c r="N3" s="705" t="s">
        <v>83</v>
      </c>
      <c r="O3" s="218"/>
      <c r="P3" s="219"/>
    </row>
    <row r="4" spans="2:16" s="1" customFormat="1" ht="17.100000000000001" customHeight="1" thickBot="1" x14ac:dyDescent="0.25">
      <c r="B4" s="188"/>
      <c r="C4" s="189"/>
      <c r="D4" s="189"/>
      <c r="E4" s="189"/>
      <c r="F4" s="189"/>
      <c r="G4" s="189"/>
      <c r="H4" s="190"/>
      <c r="J4" s="25"/>
      <c r="N4" s="220" t="s">
        <v>84</v>
      </c>
      <c r="O4" s="216"/>
      <c r="P4" s="221"/>
    </row>
    <row r="5" spans="2:16" s="1" customFormat="1" ht="14.1" customHeight="1" thickBot="1" x14ac:dyDescent="0.25">
      <c r="N5" s="220" t="s">
        <v>82</v>
      </c>
      <c r="O5" s="216"/>
      <c r="P5" s="221"/>
    </row>
    <row r="6" spans="2:16" s="1" customFormat="1" ht="13.5" thickBot="1" x14ac:dyDescent="0.25">
      <c r="B6" s="182"/>
      <c r="C6" s="184"/>
      <c r="D6" s="184"/>
      <c r="E6" s="184"/>
      <c r="F6" s="11"/>
      <c r="G6" s="11"/>
      <c r="H6" s="20"/>
      <c r="N6" s="222" t="s">
        <v>199</v>
      </c>
      <c r="O6" s="223"/>
      <c r="P6" s="224"/>
    </row>
    <row r="7" spans="2:16" s="179" customFormat="1" ht="35.1" customHeight="1" thickBot="1" x14ac:dyDescent="0.25">
      <c r="B7" s="194"/>
      <c r="C7" s="208" t="s">
        <v>273</v>
      </c>
      <c r="D7" s="868" t="s">
        <v>74</v>
      </c>
      <c r="E7" s="869"/>
      <c r="F7" s="208" t="s">
        <v>455</v>
      </c>
      <c r="G7" s="209" t="s">
        <v>493</v>
      </c>
      <c r="H7" s="21"/>
    </row>
    <row r="8" spans="2:16" ht="33.950000000000003" customHeight="1" thickBot="1" x14ac:dyDescent="0.25">
      <c r="B8" s="197" t="str">
        <f>'Unos podataka'!F14</f>
        <v/>
      </c>
      <c r="C8" s="200" t="str">
        <f>'Unos podataka'!G14</f>
        <v/>
      </c>
      <c r="D8" s="870" t="str">
        <f>IF(B8&lt;&gt;"",'Unos podataka'!H14,"")</f>
        <v/>
      </c>
      <c r="E8" s="867"/>
      <c r="F8" s="598" t="s">
        <v>82</v>
      </c>
      <c r="G8" s="706" t="str">
        <f>IF(F8=$N$3,0,IF(F8=$N$5,"",$N$6))</f>
        <v/>
      </c>
      <c r="H8" s="246">
        <f>IF(F8=$N$5,1,0)</f>
        <v>1</v>
      </c>
    </row>
    <row r="9" spans="2:16" ht="33.950000000000003" customHeight="1" thickBot="1" x14ac:dyDescent="0.25">
      <c r="B9" s="197" t="str">
        <f>'Unos podataka'!F15</f>
        <v/>
      </c>
      <c r="C9" s="200" t="str">
        <f>'Unos podataka'!G15</f>
        <v/>
      </c>
      <c r="D9" s="870" t="str">
        <f>IF(B9&lt;&gt;"",'Unos podataka'!H15,"")</f>
        <v/>
      </c>
      <c r="E9" s="867"/>
      <c r="F9" s="598" t="s">
        <v>82</v>
      </c>
      <c r="G9" s="706" t="str">
        <f>IF(F9=$N$3,0,IF(F9=$N$5,"",$N$6))</f>
        <v/>
      </c>
      <c r="H9" s="246">
        <f t="shared" ref="H9:H12" si="0">IF(F9=$N$5,1,0)</f>
        <v>1</v>
      </c>
    </row>
    <row r="10" spans="2:16" ht="33.950000000000003" customHeight="1" thickBot="1" x14ac:dyDescent="0.25">
      <c r="B10" s="197" t="str">
        <f>'Unos podataka'!F16</f>
        <v/>
      </c>
      <c r="C10" s="200" t="str">
        <f>'Unos podataka'!G16</f>
        <v/>
      </c>
      <c r="D10" s="870" t="str">
        <f>IF(B10&lt;&gt;"",'Unos podataka'!H16,"")</f>
        <v/>
      </c>
      <c r="E10" s="867"/>
      <c r="F10" s="598" t="s">
        <v>82</v>
      </c>
      <c r="G10" s="706" t="str">
        <f>IF(F10=$N$3,0,IF(F10=$N$5,"",$N$6))</f>
        <v/>
      </c>
      <c r="H10" s="246">
        <f t="shared" si="0"/>
        <v>1</v>
      </c>
    </row>
    <row r="11" spans="2:16" ht="33.950000000000003" customHeight="1" thickBot="1" x14ac:dyDescent="0.25">
      <c r="B11" s="197" t="str">
        <f>'Unos podataka'!F17</f>
        <v/>
      </c>
      <c r="C11" s="200" t="str">
        <f>'Unos podataka'!G17</f>
        <v/>
      </c>
      <c r="D11" s="870" t="str">
        <f>IF(B11&lt;&gt;"",'Unos podataka'!H17,"")</f>
        <v/>
      </c>
      <c r="E11" s="867"/>
      <c r="F11" s="598" t="s">
        <v>82</v>
      </c>
      <c r="G11" s="706" t="str">
        <f>IF(F11=$N$3,0,IF(F11=$N$5,"",$N$6))</f>
        <v/>
      </c>
      <c r="H11" s="246">
        <f t="shared" si="0"/>
        <v>1</v>
      </c>
    </row>
    <row r="12" spans="2:16" ht="33.950000000000003" customHeight="1" thickBot="1" x14ac:dyDescent="0.25">
      <c r="B12" s="197" t="str">
        <f>'Unos podataka'!F18</f>
        <v/>
      </c>
      <c r="C12" s="200" t="str">
        <f>'Unos podataka'!G18</f>
        <v/>
      </c>
      <c r="D12" s="870" t="str">
        <f>IF(B12&lt;&gt;"",'Unos podataka'!H18,"")</f>
        <v/>
      </c>
      <c r="E12" s="867"/>
      <c r="F12" s="598" t="s">
        <v>82</v>
      </c>
      <c r="G12" s="706" t="str">
        <f>IF(F12=$N$3,0,IF(F12=$N$5,"",$N$6))</f>
        <v/>
      </c>
      <c r="H12" s="246">
        <f t="shared" si="0"/>
        <v>1</v>
      </c>
    </row>
    <row r="13" spans="2:16" ht="15.75" thickBot="1" x14ac:dyDescent="0.25">
      <c r="B13" s="204"/>
      <c r="C13" s="51"/>
      <c r="D13" s="51"/>
      <c r="E13" s="51"/>
      <c r="F13" s="51"/>
      <c r="G13" s="51"/>
      <c r="H13" s="205"/>
    </row>
    <row r="14" spans="2:16" ht="15.75" thickBot="1" x14ac:dyDescent="0.25"/>
    <row r="15" spans="2:16" x14ac:dyDescent="0.2">
      <c r="B15" s="241"/>
      <c r="C15" s="242"/>
      <c r="D15" s="242"/>
      <c r="E15" s="242"/>
      <c r="F15" s="242"/>
      <c r="G15" s="242"/>
      <c r="H15" s="243"/>
    </row>
    <row r="16" spans="2:16" ht="23.25" x14ac:dyDescent="0.35">
      <c r="B16" s="45"/>
      <c r="C16" s="934" t="str">
        <f>IF(C8="","",IF(SUMPRODUCT(B8:B12,H8:H12)&lt;&gt;0,"Ocjena nije završena!", "Sva vodna tijela su ocijenjena!"))</f>
        <v/>
      </c>
      <c r="D16" s="934"/>
      <c r="E16" s="934"/>
      <c r="F16" s="934"/>
      <c r="G16" s="934"/>
      <c r="H16" s="629">
        <f>IF(C8="",0,IF(SUMPRODUCT(B8:B12,H8:H12)&lt;&gt;0,0,1))</f>
        <v>0</v>
      </c>
    </row>
    <row r="17" spans="2:12" ht="15.75" thickBot="1" x14ac:dyDescent="0.25">
      <c r="B17" s="204"/>
      <c r="C17" s="51"/>
      <c r="D17" s="51"/>
      <c r="E17" s="51"/>
      <c r="F17" s="51"/>
      <c r="G17" s="51"/>
      <c r="H17" s="205"/>
    </row>
    <row r="20" spans="2:12" ht="18.75" x14ac:dyDescent="0.3">
      <c r="B20" s="673"/>
      <c r="C20" s="674"/>
      <c r="D20" s="674"/>
      <c r="E20" s="674"/>
      <c r="F20" s="674"/>
      <c r="G20" s="674"/>
      <c r="H20" s="674"/>
      <c r="I20" s="674"/>
      <c r="J20" s="674"/>
      <c r="K20" s="674"/>
      <c r="L20" s="674"/>
    </row>
    <row r="21" spans="2:12" ht="15.95" customHeight="1" x14ac:dyDescent="0.25">
      <c r="B21" s="936"/>
      <c r="C21" s="936"/>
      <c r="D21" s="936"/>
      <c r="E21" s="936"/>
      <c r="F21" s="936"/>
      <c r="G21" s="937"/>
      <c r="H21" s="941"/>
      <c r="I21" s="941"/>
      <c r="J21" s="941"/>
      <c r="K21" s="941"/>
      <c r="L21" s="941"/>
    </row>
    <row r="22" spans="2:12" ht="15.75" x14ac:dyDescent="0.25">
      <c r="B22" s="936"/>
      <c r="C22" s="936"/>
      <c r="D22" s="936"/>
      <c r="E22" s="936"/>
      <c r="F22" s="936"/>
      <c r="G22" s="937"/>
      <c r="H22" s="941"/>
      <c r="I22" s="941"/>
      <c r="J22" s="941"/>
      <c r="K22" s="941"/>
      <c r="L22" s="941"/>
    </row>
    <row r="23" spans="2:12" ht="15.95" customHeight="1" x14ac:dyDescent="0.2">
      <c r="B23" s="940"/>
      <c r="C23" s="940"/>
      <c r="D23" s="940"/>
      <c r="E23" s="940"/>
      <c r="F23" s="940"/>
      <c r="G23" s="935"/>
      <c r="H23" s="935"/>
      <c r="I23" s="935"/>
      <c r="J23" s="938"/>
      <c r="K23" s="938"/>
      <c r="L23" s="938"/>
    </row>
    <row r="24" spans="2:12" x14ac:dyDescent="0.2">
      <c r="B24" s="940"/>
      <c r="C24" s="940"/>
      <c r="D24" s="940"/>
      <c r="E24" s="940"/>
      <c r="F24" s="940"/>
      <c r="G24" s="935"/>
      <c r="H24" s="935"/>
      <c r="I24" s="935"/>
      <c r="J24" s="938"/>
      <c r="K24" s="938"/>
      <c r="L24" s="938"/>
    </row>
    <row r="25" spans="2:12" x14ac:dyDescent="0.2">
      <c r="B25" s="940"/>
      <c r="C25" s="940"/>
      <c r="D25" s="940"/>
      <c r="E25" s="940"/>
      <c r="F25" s="940"/>
      <c r="G25" s="935"/>
      <c r="H25" s="935"/>
      <c r="I25" s="935"/>
      <c r="J25" s="938"/>
      <c r="K25" s="938"/>
      <c r="L25" s="938"/>
    </row>
    <row r="26" spans="2:12" x14ac:dyDescent="0.2">
      <c r="B26" s="940"/>
      <c r="C26" s="940"/>
      <c r="D26" s="940"/>
      <c r="E26" s="940"/>
      <c r="F26" s="940"/>
      <c r="G26" s="935"/>
      <c r="H26" s="935"/>
      <c r="I26" s="935"/>
      <c r="J26" s="939"/>
      <c r="K26" s="939"/>
      <c r="L26" s="939"/>
    </row>
    <row r="27" spans="2:12" x14ac:dyDescent="0.2">
      <c r="B27" s="940"/>
      <c r="C27" s="940"/>
      <c r="D27" s="940"/>
      <c r="E27" s="940"/>
      <c r="F27" s="940"/>
      <c r="G27" s="935"/>
      <c r="H27" s="935"/>
      <c r="I27" s="935"/>
      <c r="J27" s="939"/>
      <c r="K27" s="939"/>
      <c r="L27" s="939"/>
    </row>
    <row r="28" spans="2:12" x14ac:dyDescent="0.2">
      <c r="B28" s="940"/>
      <c r="C28" s="940"/>
      <c r="D28" s="940"/>
      <c r="E28" s="940"/>
      <c r="F28" s="940"/>
      <c r="G28" s="935"/>
      <c r="H28" s="935"/>
      <c r="I28" s="935"/>
      <c r="J28" s="939"/>
      <c r="K28" s="939"/>
      <c r="L28" s="939"/>
    </row>
  </sheetData>
  <sheetProtection algorithmName="SHA-512" hashValue="g0aDuLszhT5Y9CjZQ1Lj2BtQEAm2Bga6v13OA1RUypGRPuEakVURiwVWjo4xePt4qqshu9uOtHkhKGp1YqETeA==" saltValue="HHhCEsJN2NBzCGoixhe8Mg==" spinCount="100000" sheet="1" objects="1" scenarios="1"/>
  <mergeCells count="18">
    <mergeCell ref="C16:G16"/>
    <mergeCell ref="D7:E7"/>
    <mergeCell ref="D8:E8"/>
    <mergeCell ref="D9:E9"/>
    <mergeCell ref="D10:E10"/>
    <mergeCell ref="D11:E11"/>
    <mergeCell ref="D12:E12"/>
    <mergeCell ref="H23:I25"/>
    <mergeCell ref="H26:I28"/>
    <mergeCell ref="B21:F22"/>
    <mergeCell ref="G21:G22"/>
    <mergeCell ref="J23:L25"/>
    <mergeCell ref="J26:L28"/>
    <mergeCell ref="G23:G28"/>
    <mergeCell ref="B23:F28"/>
    <mergeCell ref="H22:I22"/>
    <mergeCell ref="H21:L21"/>
    <mergeCell ref="J22:L22"/>
  </mergeCells>
  <conditionalFormatting sqref="C8:C12">
    <cfRule type="expression" dxfId="16" priority="10">
      <formula>$C8="n.a."</formula>
    </cfRule>
  </conditionalFormatting>
  <conditionalFormatting sqref="F8:F12">
    <cfRule type="expression" dxfId="15" priority="9">
      <formula>B8&lt;&gt;1</formula>
    </cfRule>
  </conditionalFormatting>
  <conditionalFormatting sqref="C16">
    <cfRule type="expression" dxfId="14" priority="11">
      <formula>SUMPRODUCT($B$8:$B$12,$H$8:$H$12)=0</formula>
    </cfRule>
  </conditionalFormatting>
  <conditionalFormatting sqref="G9:G12">
    <cfRule type="expression" dxfId="13" priority="4">
      <formula>B9&lt;&gt;1</formula>
    </cfRule>
  </conditionalFormatting>
  <conditionalFormatting sqref="G9:G12">
    <cfRule type="expression" dxfId="12" priority="3">
      <formula>G9=0</formula>
    </cfRule>
  </conditionalFormatting>
  <conditionalFormatting sqref="G8">
    <cfRule type="expression" dxfId="11" priority="2">
      <formula>B8&lt;&gt;1</formula>
    </cfRule>
  </conditionalFormatting>
  <conditionalFormatting sqref="G8">
    <cfRule type="expression" dxfId="10" priority="1">
      <formula>G8=0</formula>
    </cfRule>
  </conditionalFormatting>
  <dataValidations count="1">
    <dataValidation type="list" allowBlank="1" showInputMessage="1" showErrorMessage="1" error="Wrong input!" prompt="Izaberite da li je projekat planiran na os. i jed. v.t." sqref="F8:F12" xr:uid="{00000000-0002-0000-2A00-000000000000}">
      <formula1>$N$3:$N$5</formula1>
    </dataValidation>
  </dataValidations>
  <pageMargins left="0.7" right="0.7" top="0.78740157499999996" bottom="0.78740157499999996" header="0.3" footer="0.3"/>
  <pageSetup paperSize="9" orientation="portrait" r:id="rId1"/>
</worksheet>
</file>

<file path=xl/worksheets/sheet4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Tabelle42"/>
  <dimension ref="A1:X26"/>
  <sheetViews>
    <sheetView workbookViewId="0">
      <selection activeCell="Z16" sqref="Z16"/>
    </sheetView>
  </sheetViews>
  <sheetFormatPr defaultColWidth="10.875" defaultRowHeight="12.75" outlineLevelCol="1" x14ac:dyDescent="0.2"/>
  <cols>
    <col min="1" max="2" width="4" style="1" customWidth="1"/>
    <col min="3" max="3" width="10.875" style="1" customWidth="1"/>
    <col min="4" max="4" width="26.5" style="1" customWidth="1"/>
    <col min="5" max="7" width="10" style="1" customWidth="1"/>
    <col min="8" max="8" width="12" style="1" customWidth="1"/>
    <col min="9" max="9" width="10" style="1" customWidth="1"/>
    <col min="10" max="11" width="12" style="1" customWidth="1"/>
    <col min="12" max="12" width="4.125" style="1" customWidth="1"/>
    <col min="13" max="13" width="10.875" style="1"/>
    <col min="14" max="15" width="10.875" style="52"/>
    <col min="16" max="23" width="10.875" style="52" hidden="1" customWidth="1" outlineLevel="1"/>
    <col min="24" max="24" width="10.875" style="52" collapsed="1"/>
    <col min="25" max="16384" width="10.875" style="52"/>
  </cols>
  <sheetData>
    <row r="1" spans="1:23" ht="13.5" thickBot="1" x14ac:dyDescent="0.25"/>
    <row r="2" spans="1:23" x14ac:dyDescent="0.2">
      <c r="B2" s="182"/>
      <c r="C2" s="183"/>
      <c r="D2" s="184"/>
      <c r="E2" s="183"/>
      <c r="F2" s="183"/>
      <c r="G2" s="184"/>
      <c r="H2" s="184"/>
      <c r="I2" s="184"/>
      <c r="J2" s="184"/>
      <c r="K2" s="184"/>
      <c r="L2" s="185"/>
    </row>
    <row r="3" spans="1:23" ht="18" x14ac:dyDescent="0.2">
      <c r="B3" s="47"/>
      <c r="C3" s="228" t="s">
        <v>456</v>
      </c>
      <c r="D3" s="227"/>
      <c r="E3" s="228"/>
      <c r="F3" s="228"/>
      <c r="G3" s="228"/>
      <c r="H3" s="228"/>
      <c r="I3" s="227"/>
      <c r="J3" s="227"/>
      <c r="K3" s="227"/>
      <c r="L3" s="187"/>
      <c r="P3" s="435"/>
    </row>
    <row r="4" spans="1:23" ht="18.75" thickBot="1" x14ac:dyDescent="0.25">
      <c r="B4" s="188"/>
      <c r="C4" s="189"/>
      <c r="D4" s="192"/>
      <c r="E4" s="189"/>
      <c r="F4" s="189"/>
      <c r="G4" s="189"/>
      <c r="H4" s="189"/>
      <c r="I4" s="192"/>
      <c r="J4" s="192"/>
      <c r="K4" s="192"/>
      <c r="L4" s="190"/>
      <c r="P4" s="52" t="s">
        <v>199</v>
      </c>
    </row>
    <row r="5" spans="1:23" ht="13.5" thickBot="1" x14ac:dyDescent="0.25"/>
    <row r="6" spans="1:23" ht="13.5" thickBot="1" x14ac:dyDescent="0.25">
      <c r="A6" s="440"/>
      <c r="B6" s="182"/>
      <c r="C6" s="429"/>
      <c r="D6" s="184"/>
      <c r="E6" s="184"/>
      <c r="F6" s="184"/>
      <c r="G6" s="184"/>
      <c r="H6" s="184"/>
      <c r="I6" s="184"/>
      <c r="J6" s="184"/>
      <c r="K6" s="184"/>
      <c r="L6" s="185"/>
    </row>
    <row r="7" spans="1:23" ht="33.950000000000003" customHeight="1" thickBot="1" x14ac:dyDescent="0.3">
      <c r="A7" s="441"/>
      <c r="B7" s="47"/>
      <c r="C7" s="430"/>
      <c r="D7" s="227"/>
      <c r="E7" s="944" t="s">
        <v>510</v>
      </c>
      <c r="F7" s="855"/>
      <c r="G7" s="855"/>
      <c r="H7" s="855"/>
      <c r="I7" s="855"/>
      <c r="J7" s="855"/>
      <c r="K7" s="856"/>
      <c r="L7" s="425"/>
      <c r="M7" s="181"/>
      <c r="P7" s="501" t="s">
        <v>62</v>
      </c>
    </row>
    <row r="8" spans="1:23" ht="125.1" customHeight="1" thickBot="1" x14ac:dyDescent="0.25">
      <c r="A8" s="442"/>
      <c r="B8" s="426"/>
      <c r="C8" s="208" t="s">
        <v>273</v>
      </c>
      <c r="D8" s="356" t="s">
        <v>74</v>
      </c>
      <c r="E8" s="341" t="s">
        <v>457</v>
      </c>
      <c r="F8" s="341" t="s">
        <v>458</v>
      </c>
      <c r="G8" s="341" t="s">
        <v>459</v>
      </c>
      <c r="H8" s="341" t="s">
        <v>460</v>
      </c>
      <c r="I8" s="341" t="s">
        <v>461</v>
      </c>
      <c r="J8" s="341" t="s">
        <v>462</v>
      </c>
      <c r="K8" s="341" t="s">
        <v>463</v>
      </c>
      <c r="L8" s="376"/>
      <c r="M8" s="25"/>
      <c r="P8" s="563" t="s">
        <v>466</v>
      </c>
      <c r="Q8" s="564" t="s">
        <v>467</v>
      </c>
      <c r="R8" s="564" t="s">
        <v>468</v>
      </c>
      <c r="S8" s="564" t="s">
        <v>469</v>
      </c>
      <c r="T8" s="564" t="s">
        <v>470</v>
      </c>
      <c r="U8" s="564" t="s">
        <v>471</v>
      </c>
      <c r="V8" s="564" t="s">
        <v>472</v>
      </c>
      <c r="W8" s="565"/>
    </row>
    <row r="9" spans="1:23" ht="33.950000000000003" customHeight="1" thickBot="1" x14ac:dyDescent="0.25">
      <c r="A9" s="443"/>
      <c r="B9" s="195"/>
      <c r="C9" s="200" t="str">
        <f>'Unos podataka'!G14</f>
        <v/>
      </c>
      <c r="D9" s="428" t="str">
        <f>IF(C9&lt;&gt;"",'Unos podataka'!H14,"")</f>
        <v/>
      </c>
      <c r="E9" s="561" t="str">
        <f>IF(C9&lt;&gt;"",'ZP1 - Zaštita vrsta'!F8,"")</f>
        <v/>
      </c>
      <c r="F9" s="561" t="str">
        <f>IF(C9&lt;&gt;"",'ZP2 - Zaštita priridnog staništ'!F8,"")</f>
        <v/>
      </c>
      <c r="G9" s="625" t="str">
        <f>IF(C9&lt;&gt;"",'ZP3 - Ekosistem'!F8,"")</f>
        <v/>
      </c>
      <c r="H9" s="561" t="str">
        <f>IF(C9&lt;&gt;"",'ZP4 - Pejzaž i rekreacijska vr.'!L34,"")</f>
        <v/>
      </c>
      <c r="I9" s="561" t="str">
        <f>IF(C9&lt;&gt;"",'ZP5 - Prirodni značaj vodotoka'!F8,"")</f>
        <v/>
      </c>
      <c r="J9" s="561" t="str">
        <f>IF(C9&lt;&gt;"",'ZP6 - Osjetljivi tipovi voda'!G8,"")</f>
        <v/>
      </c>
      <c r="K9" s="561" t="str">
        <f>IF(C9&lt;&gt;"",'ZP7 - Osjetljiva i jed. V.T.'!G8,"")</f>
        <v/>
      </c>
      <c r="L9" s="427"/>
      <c r="M9" s="180"/>
      <c r="P9" s="566" t="str">
        <f t="shared" ref="P9:U13" si="0">IF($C9="","",IF(OR(ISNUMBER(E9),E9=$P$4),1,0))</f>
        <v/>
      </c>
      <c r="Q9" s="562" t="str">
        <f t="shared" si="0"/>
        <v/>
      </c>
      <c r="R9" s="562" t="str">
        <f>IF($C9="","",IF(OR(ISNUMBER(G9),G9=$P$4),1,0))</f>
        <v/>
      </c>
      <c r="S9" s="562" t="str">
        <f t="shared" si="0"/>
        <v/>
      </c>
      <c r="T9" s="562" t="str">
        <f t="shared" si="0"/>
        <v/>
      </c>
      <c r="U9" s="562" t="str">
        <f t="shared" si="0"/>
        <v/>
      </c>
      <c r="V9" s="562" t="str">
        <f>IF($C9="","",IF(OR(ISNUMBER(K9),K9=$P$4),1,0))</f>
        <v/>
      </c>
      <c r="W9" s="567" t="str">
        <f>IF(C9="","",PRODUCT(P9:V9))</f>
        <v/>
      </c>
    </row>
    <row r="10" spans="1:23" ht="33.950000000000003" customHeight="1" thickBot="1" x14ac:dyDescent="0.25">
      <c r="A10" s="443"/>
      <c r="B10" s="195"/>
      <c r="C10" s="200" t="str">
        <f>'Unos podataka'!G15</f>
        <v/>
      </c>
      <c r="D10" s="428" t="str">
        <f>IF(C10&lt;&gt;"",'Unos podataka'!H15,"")</f>
        <v/>
      </c>
      <c r="E10" s="561" t="str">
        <f>IF(C10&lt;&gt;"",'ZP1 - Zaštita vrsta'!F9,"")</f>
        <v/>
      </c>
      <c r="F10" s="561" t="str">
        <f>IF(C10&lt;&gt;"",'ZP2 - Zaštita priridnog staništ'!F9,"")</f>
        <v/>
      </c>
      <c r="G10" s="561" t="str">
        <f>IF(C10&lt;&gt;"",'ZP3 - Ekosistem'!F9,"")</f>
        <v/>
      </c>
      <c r="H10" s="561" t="str">
        <f>IF(C10&lt;&gt;"",'ZP4 - Pejzaž i rekreacijska vr.'!L35,"")</f>
        <v/>
      </c>
      <c r="I10" s="561" t="str">
        <f>IF(C10&lt;&gt;"",'ZP5 - Prirodni značaj vodotoka'!F9,"")</f>
        <v/>
      </c>
      <c r="J10" s="561" t="str">
        <f>IF(C10&lt;&gt;"",'ZP6 - Osjetljivi tipovi voda'!G9,"")</f>
        <v/>
      </c>
      <c r="K10" s="561" t="str">
        <f>IF(C10&lt;&gt;"",'ZP7 - Osjetljiva i jed. V.T.'!G9,"")</f>
        <v/>
      </c>
      <c r="L10" s="427"/>
      <c r="M10" s="180"/>
      <c r="P10" s="566" t="str">
        <f t="shared" si="0"/>
        <v/>
      </c>
      <c r="Q10" s="562" t="str">
        <f t="shared" si="0"/>
        <v/>
      </c>
      <c r="R10" s="562" t="str">
        <f t="shared" si="0"/>
        <v/>
      </c>
      <c r="S10" s="562" t="str">
        <f t="shared" si="0"/>
        <v/>
      </c>
      <c r="T10" s="562" t="str">
        <f t="shared" si="0"/>
        <v/>
      </c>
      <c r="U10" s="562" t="str">
        <f t="shared" si="0"/>
        <v/>
      </c>
      <c r="V10" s="562" t="str">
        <f>IF($C10="","",IF(OR(ISNUMBER(K10),K10=$P$4),1,0))</f>
        <v/>
      </c>
      <c r="W10" s="567" t="str">
        <f>IF(C10="","",PRODUCT(P10:V10))</f>
        <v/>
      </c>
    </row>
    <row r="11" spans="1:23" ht="33.950000000000003" customHeight="1" thickBot="1" x14ac:dyDescent="0.25">
      <c r="A11" s="443"/>
      <c r="B11" s="195"/>
      <c r="C11" s="200" t="str">
        <f>'Unos podataka'!G16</f>
        <v/>
      </c>
      <c r="D11" s="428" t="str">
        <f>IF(C11&lt;&gt;"",'Unos podataka'!H16,"")</f>
        <v/>
      </c>
      <c r="E11" s="561" t="str">
        <f>IF(C11&lt;&gt;"",'ZP1 - Zaštita vrsta'!F10,"")</f>
        <v/>
      </c>
      <c r="F11" s="561" t="str">
        <f>IF(C11&lt;&gt;"",'ZP2 - Zaštita priridnog staništ'!F10,"")</f>
        <v/>
      </c>
      <c r="G11" s="561" t="str">
        <f>IF(C11&lt;&gt;"",'ZP3 - Ekosistem'!F10,"")</f>
        <v/>
      </c>
      <c r="H11" s="561" t="str">
        <f>IF(C11&lt;&gt;"",'ZP4 - Pejzaž i rekreacijska vr.'!L36,"")</f>
        <v/>
      </c>
      <c r="I11" s="561" t="str">
        <f>IF(C11&lt;&gt;"",'ZP5 - Prirodni značaj vodotoka'!F10,"")</f>
        <v/>
      </c>
      <c r="J11" s="561" t="str">
        <f>IF(C11&lt;&gt;"",'ZP6 - Osjetljivi tipovi voda'!G10,"")</f>
        <v/>
      </c>
      <c r="K11" s="561" t="str">
        <f>IF(C11&lt;&gt;"",'ZP7 - Osjetljiva i jed. V.T.'!G10,"")</f>
        <v/>
      </c>
      <c r="L11" s="427"/>
      <c r="M11" s="180"/>
      <c r="P11" s="566" t="str">
        <f t="shared" si="0"/>
        <v/>
      </c>
      <c r="Q11" s="562" t="str">
        <f t="shared" si="0"/>
        <v/>
      </c>
      <c r="R11" s="562" t="str">
        <f t="shared" si="0"/>
        <v/>
      </c>
      <c r="S11" s="562" t="str">
        <f t="shared" si="0"/>
        <v/>
      </c>
      <c r="T11" s="562" t="str">
        <f t="shared" si="0"/>
        <v/>
      </c>
      <c r="U11" s="562" t="str">
        <f t="shared" si="0"/>
        <v/>
      </c>
      <c r="V11" s="562" t="str">
        <f t="shared" ref="V11:V13" si="1">IF($C11="","",IF(OR(ISNUMBER(K11),K11=$P$4),1,0))</f>
        <v/>
      </c>
      <c r="W11" s="567" t="str">
        <f>IF(C11="","",PRODUCT(P11:V11))</f>
        <v/>
      </c>
    </row>
    <row r="12" spans="1:23" ht="33.950000000000003" customHeight="1" thickBot="1" x14ac:dyDescent="0.25">
      <c r="A12" s="443"/>
      <c r="B12" s="195"/>
      <c r="C12" s="200" t="str">
        <f>'Unos podataka'!G17</f>
        <v/>
      </c>
      <c r="D12" s="428" t="str">
        <f>IF(C12&lt;&gt;"",'Unos podataka'!H17,"")</f>
        <v/>
      </c>
      <c r="E12" s="561" t="str">
        <f>IF(C12&lt;&gt;"",'ZP1 - Zaštita vrsta'!F11,"")</f>
        <v/>
      </c>
      <c r="F12" s="561" t="str">
        <f>IF(C12&lt;&gt;"",'ZP2 - Zaštita priridnog staništ'!F11,"")</f>
        <v/>
      </c>
      <c r="G12" s="561" t="str">
        <f>IF(C12&lt;&gt;"",'ZP3 - Ekosistem'!F11,"")</f>
        <v/>
      </c>
      <c r="H12" s="561" t="str">
        <f>IF(C12&lt;&gt;"",'ZP4 - Pejzaž i rekreacijska vr.'!L37,"")</f>
        <v/>
      </c>
      <c r="I12" s="561" t="str">
        <f>IF(C12&lt;&gt;"",'ZP5 - Prirodni značaj vodotoka'!F11,"")</f>
        <v/>
      </c>
      <c r="J12" s="561" t="str">
        <f>IF(C12&lt;&gt;"",'ZP6 - Osjetljivi tipovi voda'!G11,"")</f>
        <v/>
      </c>
      <c r="K12" s="561" t="str">
        <f>IF(C12&lt;&gt;"",'ZP7 - Osjetljiva i jed. V.T.'!G11,"")</f>
        <v/>
      </c>
      <c r="L12" s="427"/>
      <c r="M12" s="180"/>
      <c r="P12" s="566" t="str">
        <f t="shared" si="0"/>
        <v/>
      </c>
      <c r="Q12" s="562" t="str">
        <f t="shared" si="0"/>
        <v/>
      </c>
      <c r="R12" s="562" t="str">
        <f t="shared" si="0"/>
        <v/>
      </c>
      <c r="S12" s="562" t="str">
        <f t="shared" si="0"/>
        <v/>
      </c>
      <c r="T12" s="562" t="str">
        <f t="shared" si="0"/>
        <v/>
      </c>
      <c r="U12" s="562" t="str">
        <f t="shared" si="0"/>
        <v/>
      </c>
      <c r="V12" s="562" t="str">
        <f t="shared" si="1"/>
        <v/>
      </c>
      <c r="W12" s="567" t="str">
        <f>IF(C12="","",PRODUCT(P12:V12))</f>
        <v/>
      </c>
    </row>
    <row r="13" spans="1:23" ht="33.950000000000003" customHeight="1" thickBot="1" x14ac:dyDescent="0.25">
      <c r="A13" s="443"/>
      <c r="B13" s="195"/>
      <c r="C13" s="353" t="str">
        <f>'Unos podataka'!G18</f>
        <v/>
      </c>
      <c r="D13" s="432" t="str">
        <f>IF(C13&lt;&gt;"",'Unos podataka'!H18,"")</f>
        <v/>
      </c>
      <c r="E13" s="561" t="str">
        <f>IF(C13&lt;&gt;"",'ZP1 - Zaštita vrsta'!F12,"")</f>
        <v/>
      </c>
      <c r="F13" s="561" t="str">
        <f>IF(C13&lt;&gt;"",'ZP2 - Zaštita priridnog staništ'!F12,"")</f>
        <v/>
      </c>
      <c r="G13" s="561" t="str">
        <f>IF(C13&lt;&gt;"",'ZP3 - Ekosistem'!F12,"")</f>
        <v/>
      </c>
      <c r="H13" s="561" t="str">
        <f>IF(C13&lt;&gt;"",'ZP4 - Pejzaž i rekreacijska vr.'!L38,"")</f>
        <v/>
      </c>
      <c r="I13" s="561" t="str">
        <f>IF(C13&lt;&gt;"",'ZP5 - Prirodni značaj vodotoka'!F12,"")</f>
        <v/>
      </c>
      <c r="J13" s="561" t="str">
        <f>IF(C13&lt;&gt;"",'ZP6 - Osjetljivi tipovi voda'!G12,"")</f>
        <v/>
      </c>
      <c r="K13" s="561" t="str">
        <f>IF(C13&lt;&gt;"",'ZP7 - Osjetljiva i jed. V.T.'!G12,"")</f>
        <v/>
      </c>
      <c r="L13" s="427"/>
      <c r="M13" s="180"/>
      <c r="P13" s="568" t="str">
        <f t="shared" si="0"/>
        <v/>
      </c>
      <c r="Q13" s="569" t="str">
        <f t="shared" si="0"/>
        <v/>
      </c>
      <c r="R13" s="569" t="str">
        <f t="shared" si="0"/>
        <v/>
      </c>
      <c r="S13" s="569" t="str">
        <f t="shared" si="0"/>
        <v/>
      </c>
      <c r="T13" s="569" t="str">
        <f t="shared" si="0"/>
        <v/>
      </c>
      <c r="U13" s="569" t="str">
        <f t="shared" si="0"/>
        <v/>
      </c>
      <c r="V13" s="569" t="str">
        <f t="shared" si="1"/>
        <v/>
      </c>
      <c r="W13" s="570" t="str">
        <f>IF(C13="","",PRODUCT(P13:V13))</f>
        <v/>
      </c>
    </row>
    <row r="14" spans="1:23" ht="35.1" customHeight="1" thickBot="1" x14ac:dyDescent="0.25">
      <c r="A14" s="443"/>
      <c r="B14" s="195"/>
      <c r="C14" s="868" t="s">
        <v>144</v>
      </c>
      <c r="D14" s="869"/>
      <c r="E14" s="433">
        <f>MIN(E9:E13)</f>
        <v>0</v>
      </c>
      <c r="F14" s="433">
        <f>MIN(F9:F13)</f>
        <v>0</v>
      </c>
      <c r="G14" s="433">
        <f>MIN(G9:G13)</f>
        <v>0</v>
      </c>
      <c r="H14" s="434">
        <f>IF('ZP4 - Pejzaž i rekreacijska vr.'!L40='ZP - Ukupna ocjena'!P4,'ZP - Ukupna ocjena'!P4,MIN(H9:H13))</f>
        <v>0</v>
      </c>
      <c r="I14" s="433">
        <f>MIN(I9:I13)</f>
        <v>0</v>
      </c>
      <c r="J14" s="434" t="str">
        <f>IF((COUNTIF(J9:J13,0))=0,P4, 0)</f>
        <v>Nije primjenjivo</v>
      </c>
      <c r="K14" s="434" t="str">
        <f>IF((COUNTIF(K9:K13,0))=0,P4, 0)</f>
        <v>Nije primjenjivo</v>
      </c>
      <c r="L14" s="427"/>
      <c r="M14" s="180"/>
    </row>
    <row r="15" spans="1:23" ht="9.9499999999999993" customHeight="1" thickBot="1" x14ac:dyDescent="0.25">
      <c r="A15" s="443"/>
      <c r="B15" s="195"/>
      <c r="C15" s="437"/>
      <c r="D15" s="437"/>
      <c r="E15" s="438"/>
      <c r="F15" s="438"/>
      <c r="G15" s="438"/>
      <c r="H15" s="438"/>
      <c r="I15" s="438"/>
      <c r="J15" s="439"/>
      <c r="K15" s="439"/>
      <c r="L15" s="427"/>
      <c r="M15" s="180"/>
    </row>
    <row r="16" spans="1:23" ht="35.1" customHeight="1" thickBot="1" x14ac:dyDescent="0.25">
      <c r="A16" s="443"/>
      <c r="B16" s="195"/>
      <c r="C16" s="942" t="s">
        <v>464</v>
      </c>
      <c r="D16" s="943"/>
      <c r="E16" s="436">
        <f>COUNTIF(E14:K14,0)</f>
        <v>5</v>
      </c>
      <c r="F16" s="438"/>
      <c r="G16" s="438"/>
      <c r="H16" s="438"/>
      <c r="I16" s="438"/>
      <c r="J16" s="439"/>
      <c r="K16" s="439"/>
      <c r="L16" s="427"/>
      <c r="M16" s="180"/>
    </row>
    <row r="17" spans="1:12" ht="13.5" thickBot="1" x14ac:dyDescent="0.25">
      <c r="A17" s="440"/>
      <c r="B17" s="47"/>
      <c r="C17" s="227"/>
      <c r="D17" s="227"/>
      <c r="E17" s="227"/>
      <c r="F17" s="227"/>
      <c r="G17" s="227"/>
      <c r="H17" s="227"/>
      <c r="I17" s="227"/>
      <c r="J17" s="227"/>
      <c r="K17" s="227"/>
      <c r="L17" s="50"/>
    </row>
    <row r="18" spans="1:12" ht="33.950000000000003" customHeight="1" thickBot="1" x14ac:dyDescent="0.25">
      <c r="B18" s="47"/>
      <c r="C18" s="893" t="s">
        <v>465</v>
      </c>
      <c r="D18" s="894"/>
      <c r="E18" s="894"/>
      <c r="F18" s="895"/>
      <c r="G18" s="704" t="str">
        <f>IF(MIN(W9:W13)=0,"",IF(E16&gt;2,0,IF(E16=2,0.5,IF(E16=1,1,(SUM(E14:K14)/(COUNTIF(E14:K14,"&lt;&gt;Nije primjenjivo")))))))</f>
        <v/>
      </c>
      <c r="H18" s="227"/>
      <c r="I18" s="227"/>
      <c r="J18" s="227"/>
      <c r="K18" s="227"/>
      <c r="L18" s="50"/>
    </row>
    <row r="19" spans="1:12" ht="13.5" thickBot="1" x14ac:dyDescent="0.25">
      <c r="B19" s="188"/>
      <c r="C19" s="431"/>
      <c r="D19" s="192"/>
      <c r="E19" s="192"/>
      <c r="F19" s="192"/>
      <c r="G19" s="192"/>
      <c r="H19" s="192"/>
      <c r="I19" s="192"/>
      <c r="J19" s="192"/>
      <c r="K19" s="192"/>
      <c r="L19" s="193"/>
    </row>
    <row r="23" spans="1:12" x14ac:dyDescent="0.2">
      <c r="E23" s="571"/>
    </row>
    <row r="26" spans="1:12" x14ac:dyDescent="0.2">
      <c r="J26" s="571"/>
    </row>
  </sheetData>
  <sheetProtection algorithmName="SHA-512" hashValue="+cmoHPl10b1DblhjOgDmxuPKXgpeS2KmC3X4gXZs123zcF7p35CIXXKaD8rNO3JZfo4GxZxFWH2t25VQX+nVlg==" saltValue="mMmWjxnhwhWJ0s+eNLvQIw==" spinCount="100000" sheet="1" objects="1" scenarios="1"/>
  <mergeCells count="4">
    <mergeCell ref="C14:D14"/>
    <mergeCell ref="C18:F18"/>
    <mergeCell ref="C16:D16"/>
    <mergeCell ref="E7:K7"/>
  </mergeCells>
  <phoneticPr fontId="55" type="noConversion"/>
  <conditionalFormatting sqref="C9:C13">
    <cfRule type="expression" dxfId="9" priority="30">
      <formula>$C9="n.a."</formula>
    </cfRule>
  </conditionalFormatting>
  <conditionalFormatting sqref="E9:F9 H9:K9">
    <cfRule type="expression" dxfId="8" priority="9">
      <formula>ISNUMBER(E9)</formula>
    </cfRule>
  </conditionalFormatting>
  <conditionalFormatting sqref="E9:F9 H9:K9">
    <cfRule type="expression" dxfId="7" priority="8">
      <formula>$C9=""</formula>
    </cfRule>
  </conditionalFormatting>
  <conditionalFormatting sqref="E9:F9 H9:K9">
    <cfRule type="expression" dxfId="6" priority="7">
      <formula>E9=$P$4</formula>
    </cfRule>
  </conditionalFormatting>
  <conditionalFormatting sqref="E10:K13">
    <cfRule type="expression" dxfId="5" priority="6">
      <formula>ISNUMBER(E10)</formula>
    </cfRule>
  </conditionalFormatting>
  <conditionalFormatting sqref="E10:K13">
    <cfRule type="expression" dxfId="4" priority="5">
      <formula>$C10=""</formula>
    </cfRule>
  </conditionalFormatting>
  <conditionalFormatting sqref="E10:K13">
    <cfRule type="expression" dxfId="3" priority="4">
      <formula>E10=$P$4</formula>
    </cfRule>
  </conditionalFormatting>
  <conditionalFormatting sqref="G9">
    <cfRule type="expression" dxfId="2" priority="3">
      <formula>ISNUMBER(G9)</formula>
    </cfRule>
  </conditionalFormatting>
  <conditionalFormatting sqref="G9">
    <cfRule type="expression" dxfId="1" priority="2">
      <formula>$C9=""</formula>
    </cfRule>
  </conditionalFormatting>
  <conditionalFormatting sqref="G9">
    <cfRule type="expression" dxfId="0" priority="1">
      <formula>G9=$P$4</formula>
    </cfRule>
  </conditionalFormatting>
  <pageMargins left="0.7" right="0.7" top="0.78740157499999996" bottom="0.78740157499999996" header="0.3" footer="0.3"/>
  <ignoredErrors>
    <ignoredError sqref="H14" formula="1"/>
  </ignoredErrors>
  <legacy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2"/>
  <dimension ref="A1:O18"/>
  <sheetViews>
    <sheetView showGridLines="0" zoomScaleNormal="100" workbookViewId="0">
      <selection activeCell="I9" sqref="I9:I11"/>
    </sheetView>
  </sheetViews>
  <sheetFormatPr defaultColWidth="10.875" defaultRowHeight="15" outlineLevelCol="1" x14ac:dyDescent="0.2"/>
  <cols>
    <col min="1" max="2" width="3.875" style="80" customWidth="1"/>
    <col min="3" max="3" width="16.125" style="80" customWidth="1"/>
    <col min="4" max="4" width="3.875" style="80" customWidth="1"/>
    <col min="5" max="5" width="19.375" style="80" customWidth="1"/>
    <col min="6" max="6" width="3.875" style="80" customWidth="1"/>
    <col min="7" max="7" width="15.125" style="80" customWidth="1"/>
    <col min="8" max="8" width="3.875" style="80" customWidth="1"/>
    <col min="9" max="9" width="12.625" style="80" bestFit="1" customWidth="1"/>
    <col min="10" max="10" width="3.875" style="80" customWidth="1"/>
    <col min="11" max="11" width="10.875" style="80"/>
    <col min="12" max="12" width="10.875" style="80" customWidth="1" outlineLevel="1"/>
    <col min="13" max="13" width="16.625" style="80" customWidth="1" outlineLevel="1"/>
    <col min="14" max="15" width="10.875" style="80" customWidth="1" outlineLevel="1"/>
    <col min="16" max="16384" width="10.875" style="80"/>
  </cols>
  <sheetData>
    <row r="1" spans="1:15" ht="15.75" thickBot="1" x14ac:dyDescent="0.25">
      <c r="A1" s="1"/>
      <c r="B1" s="1"/>
      <c r="C1" s="24"/>
      <c r="D1" s="1"/>
      <c r="E1" s="25"/>
      <c r="F1" s="1"/>
      <c r="G1" s="24"/>
      <c r="H1" s="1"/>
      <c r="I1" s="1"/>
      <c r="J1" s="1"/>
    </row>
    <row r="2" spans="1:15" ht="15.75" thickBot="1" x14ac:dyDescent="0.25">
      <c r="A2" s="1"/>
      <c r="B2" s="6"/>
      <c r="C2" s="10"/>
      <c r="D2" s="11"/>
      <c r="E2" s="12"/>
      <c r="F2" s="11"/>
      <c r="G2" s="10"/>
      <c r="H2" s="11"/>
      <c r="I2" s="11"/>
      <c r="J2" s="20"/>
      <c r="L2" s="797" t="s">
        <v>89</v>
      </c>
      <c r="M2" s="798"/>
      <c r="N2" s="799"/>
      <c r="O2" s="86" t="s">
        <v>493</v>
      </c>
    </row>
    <row r="3" spans="1:15" ht="17.100000000000001" customHeight="1" x14ac:dyDescent="0.2">
      <c r="A3" s="1"/>
      <c r="B3" s="7"/>
      <c r="C3" s="796" t="s">
        <v>95</v>
      </c>
      <c r="D3" s="796"/>
      <c r="E3" s="796"/>
      <c r="F3" s="796"/>
      <c r="G3" s="796"/>
      <c r="H3" s="796"/>
      <c r="I3" s="796"/>
      <c r="J3" s="30"/>
      <c r="L3" s="101">
        <v>0.8</v>
      </c>
      <c r="M3" s="90" t="s">
        <v>6</v>
      </c>
      <c r="N3" s="91">
        <v>0</v>
      </c>
      <c r="O3" s="87">
        <v>5</v>
      </c>
    </row>
    <row r="4" spans="1:15" ht="17.100000000000001" customHeight="1" thickBot="1" x14ac:dyDescent="0.25">
      <c r="A4" s="1"/>
      <c r="B4" s="31"/>
      <c r="C4" s="32"/>
      <c r="D4" s="32"/>
      <c r="E4" s="32"/>
      <c r="F4" s="32"/>
      <c r="G4" s="32"/>
      <c r="H4" s="32"/>
      <c r="I4" s="32"/>
      <c r="J4" s="23"/>
      <c r="L4" s="102">
        <v>1.1499999999999999</v>
      </c>
      <c r="M4" s="92" t="s">
        <v>6</v>
      </c>
      <c r="N4" s="95">
        <v>0.80000009999999999</v>
      </c>
      <c r="O4" s="88">
        <v>4</v>
      </c>
    </row>
    <row r="5" spans="1:15" ht="17.100000000000001" customHeight="1" thickBot="1" x14ac:dyDescent="0.25">
      <c r="A5" s="1"/>
      <c r="B5" s="1"/>
      <c r="C5" s="26"/>
      <c r="D5" s="26"/>
      <c r="E5" s="26"/>
      <c r="F5" s="26"/>
      <c r="G5" s="26"/>
      <c r="H5" s="26"/>
      <c r="I5" s="26"/>
      <c r="J5" s="1"/>
      <c r="L5" s="102">
        <v>1.5</v>
      </c>
      <c r="M5" s="92" t="s">
        <v>6</v>
      </c>
      <c r="N5" s="95">
        <v>1.1500000000099999</v>
      </c>
      <c r="O5" s="88">
        <v>3</v>
      </c>
    </row>
    <row r="6" spans="1:15" ht="17.100000000000001" customHeight="1" x14ac:dyDescent="0.2">
      <c r="A6" s="1"/>
      <c r="B6" s="6"/>
      <c r="C6" s="10"/>
      <c r="D6" s="11"/>
      <c r="E6" s="12"/>
      <c r="F6" s="11"/>
      <c r="G6" s="10"/>
      <c r="H6" s="11"/>
      <c r="I6" s="11"/>
      <c r="J6" s="20"/>
      <c r="L6" s="102">
        <v>1.85</v>
      </c>
      <c r="M6" s="92" t="s">
        <v>6</v>
      </c>
      <c r="N6" s="95">
        <v>1.5000001000000001</v>
      </c>
      <c r="O6" s="88">
        <v>2</v>
      </c>
    </row>
    <row r="7" spans="1:15" ht="15.75" x14ac:dyDescent="0.2">
      <c r="A7" s="2"/>
      <c r="B7" s="8"/>
      <c r="C7" s="34" t="s">
        <v>87</v>
      </c>
      <c r="D7" s="34"/>
      <c r="E7" s="35"/>
      <c r="F7" s="35"/>
      <c r="G7" s="35"/>
      <c r="H7" s="35"/>
      <c r="I7" s="36"/>
      <c r="J7" s="22"/>
      <c r="L7" s="102">
        <v>2.2000000000000002</v>
      </c>
      <c r="M7" s="92" t="s">
        <v>6</v>
      </c>
      <c r="N7" s="95">
        <v>1.85000001</v>
      </c>
      <c r="O7" s="88">
        <v>1</v>
      </c>
    </row>
    <row r="8" spans="1:15" ht="15.75" thickBot="1" x14ac:dyDescent="0.25">
      <c r="A8" s="1"/>
      <c r="B8" s="7"/>
      <c r="C8" s="37"/>
      <c r="D8" s="38"/>
      <c r="E8" s="39"/>
      <c r="F8" s="38"/>
      <c r="G8" s="37"/>
      <c r="H8" s="38"/>
      <c r="I8" s="38"/>
      <c r="J8" s="21"/>
      <c r="L8" s="103"/>
      <c r="M8" s="93" t="s">
        <v>7</v>
      </c>
      <c r="N8" s="96">
        <v>2.2000001</v>
      </c>
      <c r="O8" s="89">
        <v>0</v>
      </c>
    </row>
    <row r="9" spans="1:15" ht="33.950000000000003" customHeight="1" thickBot="1" x14ac:dyDescent="0.25">
      <c r="A9" s="1"/>
      <c r="B9" s="7"/>
      <c r="C9" s="3" t="str">
        <f>'Unos podataka'!C11</f>
        <v>Ukupna investicija
(mil. KM)</v>
      </c>
      <c r="D9" s="39" t="s">
        <v>0</v>
      </c>
      <c r="E9" s="3" t="str">
        <f>'Unos podataka'!C9</f>
        <v>Predviđena godišnja proizvodnja (MWh/a)</v>
      </c>
      <c r="F9" s="39" t="s">
        <v>2</v>
      </c>
      <c r="G9" s="3" t="s">
        <v>88</v>
      </c>
      <c r="H9" s="40"/>
      <c r="I9" s="793" t="str">
        <f>IF(G11="","",VLOOKUP(G11,N3:O8,2))</f>
        <v/>
      </c>
      <c r="J9" s="21"/>
    </row>
    <row r="10" spans="1:15" ht="9.9499999999999993" customHeight="1" thickBot="1" x14ac:dyDescent="0.25">
      <c r="A10" s="1"/>
      <c r="B10" s="7"/>
      <c r="C10" s="39"/>
      <c r="D10" s="40"/>
      <c r="E10" s="39"/>
      <c r="F10" s="40"/>
      <c r="G10" s="39"/>
      <c r="H10" s="40"/>
      <c r="I10" s="794"/>
      <c r="J10" s="21"/>
    </row>
    <row r="11" spans="1:15" ht="20.100000000000001" customHeight="1" thickBot="1" x14ac:dyDescent="0.25">
      <c r="A11" s="1"/>
      <c r="B11" s="7"/>
      <c r="C11" s="29" t="str">
        <f>IF('Unos podataka'!E11="","",'Unos podataka'!E11)</f>
        <v/>
      </c>
      <c r="D11" s="39" t="s">
        <v>0</v>
      </c>
      <c r="E11" s="94" t="str">
        <f>IF('Unos podataka'!E9="","",'Unos podataka'!E9)</f>
        <v/>
      </c>
      <c r="F11" s="39" t="s">
        <v>2</v>
      </c>
      <c r="G11" s="73" t="str">
        <f>IF(OR(C11="",E11=""),"",C11*1000000/(E11*1000))</f>
        <v/>
      </c>
      <c r="H11" s="40"/>
      <c r="I11" s="795"/>
      <c r="J11" s="21"/>
    </row>
    <row r="12" spans="1:15" ht="15.75" thickBot="1" x14ac:dyDescent="0.25">
      <c r="A12" s="1"/>
      <c r="B12" s="31"/>
      <c r="C12" s="41"/>
      <c r="D12" s="19"/>
      <c r="E12" s="42"/>
      <c r="F12" s="19"/>
      <c r="G12" s="19"/>
      <c r="H12" s="19"/>
      <c r="I12" s="19"/>
      <c r="J12" s="23"/>
    </row>
    <row r="13" spans="1:15" ht="18" x14ac:dyDescent="0.2">
      <c r="A13" s="1"/>
      <c r="B13" s="1"/>
      <c r="C13" s="26"/>
      <c r="D13" s="26"/>
      <c r="E13" s="26"/>
      <c r="F13" s="26"/>
      <c r="G13" s="26"/>
      <c r="H13" s="26"/>
      <c r="I13" s="26"/>
      <c r="J13" s="1"/>
    </row>
    <row r="15" spans="1:15" ht="23.25" x14ac:dyDescent="0.35">
      <c r="B15" s="84"/>
    </row>
    <row r="17" spans="3:9" x14ac:dyDescent="0.2">
      <c r="C17" s="572"/>
    </row>
    <row r="18" spans="3:9" x14ac:dyDescent="0.2">
      <c r="I18" s="61"/>
    </row>
  </sheetData>
  <sheetProtection algorithmName="SHA-512" hashValue="XBMD3e4EF4Okqa25WAde0/B39LZNy/cH5o3zVRq3tkhu5eijJkK/jWvD4N95EDIm+3UcrvK6SvJleGMyl5U9VQ==" saltValue="/DyrbpMFBDZHWVcXgFSe5g==" spinCount="100000" sheet="1" objects="1" scenarios="1"/>
  <mergeCells count="3">
    <mergeCell ref="I9:I11"/>
    <mergeCell ref="C3:I3"/>
    <mergeCell ref="L2:N2"/>
  </mergeCells>
  <pageMargins left="0.7" right="0.7" top="0.78740157499999996" bottom="0.78740157499999996"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Tabelle3"/>
  <dimension ref="A1:O17"/>
  <sheetViews>
    <sheetView showGridLines="0" zoomScaleNormal="100" workbookViewId="0">
      <selection activeCell="I9" sqref="I9:I11"/>
    </sheetView>
  </sheetViews>
  <sheetFormatPr defaultColWidth="11" defaultRowHeight="15.75" outlineLevelCol="1" x14ac:dyDescent="0.25"/>
  <cols>
    <col min="1" max="2" width="3.875" style="5" customWidth="1"/>
    <col min="3" max="3" width="18.875" style="5" customWidth="1"/>
    <col min="4" max="4" width="3.875" style="5" customWidth="1"/>
    <col min="5" max="5" width="21.875" style="5" customWidth="1"/>
    <col min="6" max="6" width="3.875" style="5" customWidth="1"/>
    <col min="7" max="7" width="15.125" style="5" customWidth="1"/>
    <col min="8" max="8" width="3.875" style="5" customWidth="1"/>
    <col min="9" max="9" width="12.625" style="5" bestFit="1" customWidth="1"/>
    <col min="10" max="10" width="3.875" style="5" customWidth="1"/>
    <col min="11" max="11" width="10.875" style="5"/>
    <col min="12" max="12" width="10.875" style="5" outlineLevel="1"/>
    <col min="13" max="13" width="22" style="5" customWidth="1" outlineLevel="1"/>
    <col min="14" max="15" width="10.875" style="5" outlineLevel="1"/>
  </cols>
  <sheetData>
    <row r="1" spans="1:15" ht="16.5" thickBot="1" x14ac:dyDescent="0.3">
      <c r="A1" s="1"/>
      <c r="B1" s="1"/>
      <c r="C1" s="24"/>
      <c r="D1" s="1"/>
      <c r="E1" s="25"/>
      <c r="F1" s="1"/>
      <c r="G1" s="24"/>
      <c r="H1" s="1"/>
      <c r="I1" s="1"/>
      <c r="J1" s="1"/>
    </row>
    <row r="2" spans="1:15" ht="17.100000000000001" customHeight="1" thickBot="1" x14ac:dyDescent="0.3">
      <c r="A2" s="1"/>
      <c r="B2" s="6"/>
      <c r="C2" s="10"/>
      <c r="D2" s="11"/>
      <c r="E2" s="12"/>
      <c r="F2" s="11"/>
      <c r="G2" s="10"/>
      <c r="H2" s="11"/>
      <c r="I2" s="11"/>
      <c r="J2" s="20"/>
      <c r="L2" s="797" t="s">
        <v>94</v>
      </c>
      <c r="M2" s="798"/>
      <c r="N2" s="799"/>
      <c r="O2" s="86" t="s">
        <v>493</v>
      </c>
    </row>
    <row r="3" spans="1:15" ht="17.100000000000001" customHeight="1" x14ac:dyDescent="0.25">
      <c r="A3" s="1"/>
      <c r="B3" s="7"/>
      <c r="C3" s="796" t="s">
        <v>90</v>
      </c>
      <c r="D3" s="796"/>
      <c r="E3" s="796"/>
      <c r="F3" s="796"/>
      <c r="G3" s="796"/>
      <c r="H3" s="796"/>
      <c r="I3" s="796"/>
      <c r="J3" s="30"/>
      <c r="L3" s="660"/>
      <c r="M3" s="661" t="s">
        <v>8</v>
      </c>
      <c r="N3" s="662"/>
      <c r="O3" s="663">
        <v>0</v>
      </c>
    </row>
    <row r="4" spans="1:15" ht="17.100000000000001" customHeight="1" thickBot="1" x14ac:dyDescent="0.3">
      <c r="A4" s="1"/>
      <c r="B4" s="31"/>
      <c r="C4" s="32"/>
      <c r="D4" s="32"/>
      <c r="E4" s="32"/>
      <c r="F4" s="32"/>
      <c r="G4" s="32"/>
      <c r="H4" s="32"/>
      <c r="I4" s="32"/>
      <c r="J4" s="23"/>
      <c r="L4" s="97">
        <v>5000</v>
      </c>
      <c r="M4" s="92" t="s">
        <v>36</v>
      </c>
      <c r="N4" s="99">
        <v>0</v>
      </c>
      <c r="O4" s="88">
        <v>1</v>
      </c>
    </row>
    <row r="5" spans="1:15" ht="17.100000000000001" customHeight="1" thickBot="1" x14ac:dyDescent="0.3">
      <c r="A5" s="1"/>
      <c r="B5" s="1"/>
      <c r="C5" s="26"/>
      <c r="D5" s="26"/>
      <c r="E5" s="26"/>
      <c r="F5" s="26"/>
      <c r="G5" s="26"/>
      <c r="H5" s="26"/>
      <c r="I5" s="26"/>
      <c r="J5" s="1"/>
      <c r="L5" s="97">
        <v>10000</v>
      </c>
      <c r="M5" s="92" t="s">
        <v>36</v>
      </c>
      <c r="N5" s="99">
        <v>5000</v>
      </c>
      <c r="O5" s="88">
        <v>2</v>
      </c>
    </row>
    <row r="6" spans="1:15" ht="17.100000000000001" customHeight="1" x14ac:dyDescent="0.25">
      <c r="A6" s="1"/>
      <c r="B6" s="6"/>
      <c r="C6" s="10"/>
      <c r="D6" s="11"/>
      <c r="E6" s="12"/>
      <c r="F6" s="11"/>
      <c r="G6" s="10"/>
      <c r="H6" s="11"/>
      <c r="I6" s="11"/>
      <c r="J6" s="20"/>
      <c r="L6" s="97">
        <v>15000</v>
      </c>
      <c r="M6" s="92" t="s">
        <v>36</v>
      </c>
      <c r="N6" s="99">
        <v>10000</v>
      </c>
      <c r="O6" s="88">
        <v>3</v>
      </c>
    </row>
    <row r="7" spans="1:15" ht="17.100000000000001" customHeight="1" x14ac:dyDescent="0.25">
      <c r="A7" s="2"/>
      <c r="B7" s="8"/>
      <c r="C7" s="34" t="s">
        <v>4</v>
      </c>
      <c r="D7" s="34"/>
      <c r="E7" s="35"/>
      <c r="F7" s="35"/>
      <c r="G7" s="35"/>
      <c r="H7" s="35"/>
      <c r="I7" s="36"/>
      <c r="J7" s="22"/>
      <c r="L7" s="97">
        <v>20000</v>
      </c>
      <c r="M7" s="92" t="s">
        <v>36</v>
      </c>
      <c r="N7" s="99">
        <v>15000</v>
      </c>
      <c r="O7" s="88">
        <v>4</v>
      </c>
    </row>
    <row r="8" spans="1:15" ht="17.100000000000001" customHeight="1" thickBot="1" x14ac:dyDescent="0.3">
      <c r="A8" s="1"/>
      <c r="B8" s="7"/>
      <c r="C8" s="37"/>
      <c r="D8" s="38"/>
      <c r="E8" s="39"/>
      <c r="F8" s="38"/>
      <c r="G8" s="37"/>
      <c r="H8" s="38"/>
      <c r="I8" s="38"/>
      <c r="J8" s="21"/>
      <c r="L8" s="98"/>
      <c r="M8" s="93" t="s">
        <v>37</v>
      </c>
      <c r="N8" s="100">
        <v>20000</v>
      </c>
      <c r="O8" s="89">
        <v>5</v>
      </c>
    </row>
    <row r="9" spans="1:15" ht="33.950000000000003" customHeight="1" thickBot="1" x14ac:dyDescent="0.3">
      <c r="A9" s="1"/>
      <c r="B9" s="7"/>
      <c r="C9" s="3" t="str">
        <f>'Unos podataka'!C9</f>
        <v>Predviđena godišnja proizvodnja (MWh/a)</v>
      </c>
      <c r="D9" s="39" t="s">
        <v>1</v>
      </c>
      <c r="E9" s="3" t="str">
        <f>'Unos podataka'!C38</f>
        <v>Specifična emisija C02 u BiH</v>
      </c>
      <c r="F9" s="39" t="s">
        <v>2</v>
      </c>
      <c r="G9" s="3" t="s">
        <v>93</v>
      </c>
      <c r="H9" s="40"/>
      <c r="I9" s="793" t="str">
        <f>IF(G11="","",VLOOKUP(G11,N4:O8,2))</f>
        <v/>
      </c>
      <c r="J9" s="21"/>
    </row>
    <row r="10" spans="1:15" ht="9.9499999999999993" customHeight="1" thickBot="1" x14ac:dyDescent="0.3">
      <c r="A10" s="1"/>
      <c r="B10" s="7"/>
      <c r="C10" s="39"/>
      <c r="D10" s="40"/>
      <c r="E10" s="39"/>
      <c r="F10" s="40"/>
      <c r="G10" s="39"/>
      <c r="H10" s="40"/>
      <c r="I10" s="794"/>
      <c r="J10" s="21"/>
    </row>
    <row r="11" spans="1:15" ht="20.100000000000001" customHeight="1" thickBot="1" x14ac:dyDescent="0.3">
      <c r="A11" s="1"/>
      <c r="B11" s="7"/>
      <c r="C11" s="94" t="str">
        <f>IF('Unos podataka'!E9="","",'Unos podataka'!E9)</f>
        <v/>
      </c>
      <c r="D11" s="39" t="s">
        <v>1</v>
      </c>
      <c r="E11" s="43">
        <f>'Unos podataka'!E38</f>
        <v>744.6</v>
      </c>
      <c r="F11" s="39" t="s">
        <v>2</v>
      </c>
      <c r="G11" s="74" t="str">
        <f>IF(C11="","",C11*E11/1000)</f>
        <v/>
      </c>
      <c r="H11" s="40"/>
      <c r="I11" s="795"/>
      <c r="J11" s="21"/>
      <c r="L11" s="80"/>
      <c r="M11" s="80"/>
      <c r="N11" s="80"/>
    </row>
    <row r="12" spans="1:15" ht="16.5" thickBot="1" x14ac:dyDescent="0.3">
      <c r="A12" s="1"/>
      <c r="B12" s="31"/>
      <c r="C12" s="41"/>
      <c r="D12" s="19"/>
      <c r="E12" s="42"/>
      <c r="F12" s="19"/>
      <c r="G12" s="19"/>
      <c r="H12" s="19"/>
      <c r="I12" s="19"/>
      <c r="J12" s="23"/>
      <c r="L12" s="80"/>
      <c r="M12" s="80"/>
      <c r="N12" s="80"/>
    </row>
    <row r="13" spans="1:15" ht="18" x14ac:dyDescent="0.25">
      <c r="A13" s="1"/>
      <c r="B13" s="1"/>
      <c r="C13" s="26"/>
      <c r="D13" s="26"/>
      <c r="E13" s="26"/>
      <c r="F13" s="26"/>
      <c r="G13" s="26"/>
      <c r="H13" s="26"/>
      <c r="I13" s="26"/>
      <c r="J13" s="1"/>
      <c r="L13" s="80"/>
      <c r="M13" s="80"/>
      <c r="N13" s="80"/>
    </row>
    <row r="14" spans="1:15" x14ac:dyDescent="0.25">
      <c r="L14" s="80"/>
      <c r="M14" s="80"/>
      <c r="N14" s="80"/>
    </row>
    <row r="15" spans="1:15" ht="23.25" x14ac:dyDescent="0.35">
      <c r="B15" s="84"/>
      <c r="L15" s="80"/>
      <c r="M15" s="80"/>
      <c r="N15" s="80"/>
    </row>
    <row r="16" spans="1:15" x14ac:dyDescent="0.25">
      <c r="L16" s="80"/>
      <c r="M16" s="80"/>
      <c r="N16" s="80"/>
    </row>
    <row r="17" spans="12:14" x14ac:dyDescent="0.25">
      <c r="L17" s="80"/>
      <c r="M17" s="80"/>
      <c r="N17" s="80"/>
    </row>
  </sheetData>
  <sheetProtection algorithmName="SHA-512" hashValue="FXRDppUqe3Y4CJnYATpP98Ak06ywSVFx3/89kO37G4qkTGPyeTXzGlnbVnBL8jQWDdD2jk8GKSMZlRFnTVpK0Q==" saltValue="cZbBJ+xvvxFRt4iy497Q2Q==" spinCount="100000" sheet="1" objects="1" scenarios="1"/>
  <mergeCells count="3">
    <mergeCell ref="C3:I3"/>
    <mergeCell ref="I9:I11"/>
    <mergeCell ref="L2:N2"/>
  </mergeCells>
  <pageMargins left="0.7" right="0.7" top="0.78740157499999996" bottom="0.78740157499999996"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Tabelle4"/>
  <dimension ref="A1:O15"/>
  <sheetViews>
    <sheetView showGridLines="0" zoomScaleNormal="100" workbookViewId="0">
      <selection activeCell="C9" sqref="C9"/>
    </sheetView>
  </sheetViews>
  <sheetFormatPr defaultColWidth="11" defaultRowHeight="15.75" outlineLevelCol="1" x14ac:dyDescent="0.25"/>
  <cols>
    <col min="1" max="2" width="3.875" style="5" customWidth="1"/>
    <col min="3" max="3" width="18.125" style="5" customWidth="1"/>
    <col min="4" max="4" width="3.875" style="5" customWidth="1"/>
    <col min="5" max="5" width="19.375" style="5" customWidth="1"/>
    <col min="6" max="6" width="3.875" style="5" customWidth="1"/>
    <col min="7" max="7" width="15.625" style="5" customWidth="1"/>
    <col min="8" max="8" width="3.875" style="5" customWidth="1"/>
    <col min="9" max="9" width="12.625" style="80" bestFit="1" customWidth="1"/>
    <col min="10" max="10" width="3.875" style="80" customWidth="1"/>
    <col min="12" max="12" width="10.875" outlineLevel="1"/>
    <col min="13" max="13" width="15" customWidth="1" outlineLevel="1"/>
    <col min="14" max="15" width="10.875" outlineLevel="1"/>
    <col min="16" max="16" width="3.875" customWidth="1"/>
    <col min="17" max="17" width="24.5" bestFit="1" customWidth="1"/>
    <col min="18" max="18" width="5.625" bestFit="1" customWidth="1"/>
  </cols>
  <sheetData>
    <row r="1" spans="1:15" ht="16.5" thickBot="1" x14ac:dyDescent="0.3">
      <c r="A1" s="1"/>
      <c r="B1" s="1"/>
      <c r="C1" s="24"/>
      <c r="D1" s="1"/>
      <c r="E1" s="25"/>
      <c r="F1" s="1"/>
      <c r="G1" s="24"/>
      <c r="H1" s="1"/>
      <c r="I1" s="1"/>
      <c r="J1" s="1"/>
    </row>
    <row r="2" spans="1:15" ht="16.5" thickBot="1" x14ac:dyDescent="0.3">
      <c r="A2" s="1"/>
      <c r="B2" s="53"/>
      <c r="C2" s="54"/>
      <c r="D2" s="54"/>
      <c r="E2" s="54"/>
      <c r="F2" s="54"/>
      <c r="G2" s="54"/>
      <c r="H2" s="54"/>
      <c r="I2" s="11"/>
      <c r="J2" s="20"/>
      <c r="L2" s="797" t="s">
        <v>89</v>
      </c>
      <c r="M2" s="798"/>
      <c r="N2" s="799"/>
      <c r="O2" s="86" t="s">
        <v>493</v>
      </c>
    </row>
    <row r="3" spans="1:15" x14ac:dyDescent="0.25">
      <c r="A3" s="1"/>
      <c r="B3" s="56"/>
      <c r="C3" s="34" t="s">
        <v>521</v>
      </c>
      <c r="D3" s="34"/>
      <c r="E3" s="34"/>
      <c r="F3" s="34"/>
      <c r="G3" s="34"/>
      <c r="H3" s="34"/>
      <c r="I3" s="34"/>
      <c r="J3" s="30"/>
      <c r="L3" s="101">
        <v>0.1</v>
      </c>
      <c r="M3" s="90" t="s">
        <v>10</v>
      </c>
      <c r="N3" s="91">
        <v>0</v>
      </c>
      <c r="O3" s="87">
        <v>5</v>
      </c>
    </row>
    <row r="4" spans="1:15" ht="18.75" thickBot="1" x14ac:dyDescent="0.3">
      <c r="A4" s="1"/>
      <c r="B4" s="58"/>
      <c r="C4" s="59"/>
      <c r="D4" s="59"/>
      <c r="E4" s="59"/>
      <c r="F4" s="59"/>
      <c r="G4" s="59"/>
      <c r="H4" s="59"/>
      <c r="I4" s="32"/>
      <c r="J4" s="23"/>
      <c r="L4" s="102">
        <v>0.5</v>
      </c>
      <c r="M4" s="92" t="s">
        <v>9</v>
      </c>
      <c r="N4" s="95">
        <v>0.1</v>
      </c>
      <c r="O4" s="88">
        <v>4</v>
      </c>
    </row>
    <row r="5" spans="1:15" ht="18.75" thickBot="1" x14ac:dyDescent="0.3">
      <c r="A5" s="1"/>
      <c r="B5" s="1"/>
      <c r="C5" s="26"/>
      <c r="D5" s="26"/>
      <c r="E5" s="26"/>
      <c r="F5" s="26"/>
      <c r="G5" s="26"/>
      <c r="H5" s="26"/>
      <c r="I5" s="26"/>
      <c r="J5" s="1"/>
      <c r="L5" s="102">
        <v>0.75</v>
      </c>
      <c r="M5" s="92" t="s">
        <v>9</v>
      </c>
      <c r="N5" s="95">
        <v>0.5</v>
      </c>
      <c r="O5" s="88">
        <v>3</v>
      </c>
    </row>
    <row r="6" spans="1:15" x14ac:dyDescent="0.25">
      <c r="A6" s="1"/>
      <c r="B6" s="6"/>
      <c r="C6" s="10"/>
      <c r="D6" s="11"/>
      <c r="E6" s="12"/>
      <c r="F6" s="11"/>
      <c r="G6" s="10"/>
      <c r="H6" s="11"/>
      <c r="I6" s="11"/>
      <c r="J6" s="20"/>
      <c r="L6" s="102">
        <v>1</v>
      </c>
      <c r="M6" s="92" t="s">
        <v>9</v>
      </c>
      <c r="N6" s="95">
        <v>0.75</v>
      </c>
      <c r="O6" s="88">
        <v>2</v>
      </c>
    </row>
    <row r="7" spans="1:15" x14ac:dyDescent="0.25">
      <c r="A7" s="2"/>
      <c r="B7" s="8"/>
      <c r="C7" s="34" t="s">
        <v>4</v>
      </c>
      <c r="D7" s="34"/>
      <c r="E7" s="35"/>
      <c r="F7" s="35"/>
      <c r="G7" s="35"/>
      <c r="H7" s="35"/>
      <c r="I7" s="36"/>
      <c r="J7" s="22"/>
      <c r="L7" s="102">
        <v>1.5</v>
      </c>
      <c r="M7" s="92" t="s">
        <v>9</v>
      </c>
      <c r="N7" s="95">
        <v>1</v>
      </c>
      <c r="O7" s="88">
        <v>1</v>
      </c>
    </row>
    <row r="8" spans="1:15" ht="16.5" thickBot="1" x14ac:dyDescent="0.3">
      <c r="A8" s="1"/>
      <c r="B8" s="7"/>
      <c r="C8" s="37"/>
      <c r="D8" s="38"/>
      <c r="E8" s="39"/>
      <c r="F8" s="38"/>
      <c r="G8" s="37"/>
      <c r="H8" s="38"/>
      <c r="I8" s="38"/>
      <c r="J8" s="21"/>
      <c r="L8" s="103"/>
      <c r="M8" s="93" t="s">
        <v>11</v>
      </c>
      <c r="N8" s="96">
        <v>1.5</v>
      </c>
      <c r="O8" s="89">
        <v>0</v>
      </c>
    </row>
    <row r="9" spans="1:15" ht="42.95" customHeight="1" thickBot="1" x14ac:dyDescent="0.3">
      <c r="A9" s="1"/>
      <c r="B9" s="7"/>
      <c r="C9" s="3" t="str">
        <f>'Unos podataka'!C23</f>
        <v>Dužina priključka na distributivnu/prenosnu mrežu (km)</v>
      </c>
      <c r="D9" s="39" t="s">
        <v>0</v>
      </c>
      <c r="E9" s="3" t="str">
        <f>'Unos podataka'!C9</f>
        <v>Predviđena godišnja proizvodnja (MWh/a)</v>
      </c>
      <c r="F9" s="39" t="s">
        <v>2</v>
      </c>
      <c r="G9" s="3" t="s">
        <v>96</v>
      </c>
      <c r="H9" s="39"/>
      <c r="I9" s="793" t="str">
        <f>IF(G11="","",VLOOKUP(G11,N3:O8,2))</f>
        <v/>
      </c>
      <c r="J9" s="21"/>
    </row>
    <row r="10" spans="1:15" ht="9.9499999999999993" customHeight="1" thickBot="1" x14ac:dyDescent="0.3">
      <c r="A10" s="1"/>
      <c r="B10" s="7"/>
      <c r="C10" s="39"/>
      <c r="D10" s="40"/>
      <c r="E10" s="39"/>
      <c r="F10" s="40"/>
      <c r="G10" s="39"/>
      <c r="H10" s="40"/>
      <c r="I10" s="794"/>
      <c r="J10" s="21"/>
    </row>
    <row r="11" spans="1:15" ht="20.100000000000001" customHeight="1" thickBot="1" x14ac:dyDescent="0.3">
      <c r="A11" s="1"/>
      <c r="B11" s="7"/>
      <c r="C11" s="44" t="str">
        <f>IF('Unos podataka'!E23="","",'Unos podataka'!E23)</f>
        <v/>
      </c>
      <c r="D11" s="39" t="s">
        <v>0</v>
      </c>
      <c r="E11" s="27" t="str">
        <f>IF('Unos podataka'!E9="","",'Unos podataka'!E9/1000)</f>
        <v/>
      </c>
      <c r="F11" s="39" t="s">
        <v>2</v>
      </c>
      <c r="G11" s="75" t="str">
        <f>IF(OR(C11="",E11=""),"",C11/E11)</f>
        <v/>
      </c>
      <c r="H11" s="39"/>
      <c r="I11" s="795"/>
      <c r="J11" s="21"/>
    </row>
    <row r="12" spans="1:15" ht="16.5" thickBot="1" x14ac:dyDescent="0.3">
      <c r="A12" s="1"/>
      <c r="B12" s="31"/>
      <c r="C12" s="41"/>
      <c r="D12" s="19"/>
      <c r="E12" s="42"/>
      <c r="F12" s="19"/>
      <c r="G12" s="19"/>
      <c r="H12" s="19"/>
      <c r="I12" s="19"/>
      <c r="J12" s="23"/>
      <c r="K12" s="80"/>
      <c r="L12" s="80"/>
      <c r="M12" s="80"/>
      <c r="N12" s="80"/>
    </row>
    <row r="14" spans="1:15" x14ac:dyDescent="0.25">
      <c r="C14" s="80"/>
      <c r="D14" s="80"/>
      <c r="E14" s="80"/>
      <c r="F14" s="80"/>
      <c r="L14" s="52"/>
    </row>
    <row r="15" spans="1:15" ht="23.25" x14ac:dyDescent="0.35">
      <c r="B15" s="84"/>
    </row>
  </sheetData>
  <sheetProtection algorithmName="SHA-512" hashValue="Kl/Z37oxbg357pivWQ3rnVdVZWUmItPfuAhsLCHFExwbFVOduAFLyavj4uBFOHnm0JdB7yP81s2UMAlXUUwcbA==" saltValue="86za5GYHiIQZ5sUuomto/w==" spinCount="100000" sheet="1" objects="1" scenarios="1"/>
  <mergeCells count="2">
    <mergeCell ref="L2:N2"/>
    <mergeCell ref="I9:I11"/>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Tabelle5"/>
  <dimension ref="A1:V69"/>
  <sheetViews>
    <sheetView showGridLines="0" zoomScale="80" zoomScaleNormal="80" workbookViewId="0">
      <selection activeCell="AA27" sqref="AA27"/>
    </sheetView>
  </sheetViews>
  <sheetFormatPr defaultColWidth="11" defaultRowHeight="15.75" outlineLevelCol="1" x14ac:dyDescent="0.25"/>
  <cols>
    <col min="1" max="2" width="3.875" customWidth="1"/>
    <col min="3" max="3" width="43.5" customWidth="1"/>
    <col min="4" max="4" width="3.875" customWidth="1"/>
    <col min="5" max="5" width="29" customWidth="1"/>
    <col min="6" max="6" width="3.875" customWidth="1"/>
    <col min="7" max="7" width="11.625" bestFit="1" customWidth="1"/>
    <col min="8" max="8" width="3.625" customWidth="1"/>
    <col min="9" max="9" width="36.875" customWidth="1"/>
    <col min="10" max="10" width="2.875" customWidth="1"/>
    <col min="13" max="13" width="2.125" customWidth="1"/>
    <col min="14" max="14" width="11.625" bestFit="1" customWidth="1"/>
    <col min="15" max="15" width="4" customWidth="1"/>
    <col min="19" max="19" width="97.875" hidden="1" customWidth="1" outlineLevel="1"/>
    <col min="20" max="20" width="6.375" hidden="1" customWidth="1" outlineLevel="1"/>
    <col min="21" max="21" width="5.5" hidden="1" customWidth="1" outlineLevel="1"/>
    <col min="22" max="22" width="11" collapsed="1"/>
  </cols>
  <sheetData>
    <row r="1" spans="1:21" ht="16.5" thickBot="1" x14ac:dyDescent="0.3">
      <c r="A1" s="1"/>
      <c r="B1" s="1"/>
      <c r="C1" s="1"/>
      <c r="D1" s="1"/>
      <c r="E1" s="1"/>
      <c r="F1" s="1"/>
    </row>
    <row r="2" spans="1:21" x14ac:dyDescent="0.25">
      <c r="A2" s="1"/>
      <c r="B2" s="6"/>
      <c r="C2" s="10"/>
      <c r="D2" s="11"/>
      <c r="E2" s="12"/>
      <c r="F2" s="20"/>
      <c r="K2" s="138"/>
      <c r="L2" s="138"/>
      <c r="M2" s="138"/>
      <c r="N2" s="138"/>
    </row>
    <row r="3" spans="1:21" ht="18.75" x14ac:dyDescent="0.3">
      <c r="A3" s="1"/>
      <c r="B3" s="7"/>
      <c r="C3" s="33" t="s">
        <v>182</v>
      </c>
      <c r="D3" s="33"/>
      <c r="E3" s="33"/>
      <c r="F3" s="30"/>
      <c r="K3" s="138"/>
      <c r="L3" s="138"/>
      <c r="M3" s="138"/>
      <c r="N3" s="138"/>
      <c r="S3" s="156" t="s">
        <v>108</v>
      </c>
      <c r="T3" s="157"/>
      <c r="U3" s="157"/>
    </row>
    <row r="4" spans="1:21" ht="18.75" thickBot="1" x14ac:dyDescent="0.3">
      <c r="A4" s="1"/>
      <c r="B4" s="31"/>
      <c r="C4" s="32"/>
      <c r="D4" s="32"/>
      <c r="E4" s="32"/>
      <c r="F4" s="23"/>
      <c r="J4" s="667"/>
      <c r="K4" s="668"/>
      <c r="L4" s="668"/>
      <c r="M4" s="668"/>
      <c r="N4" s="668"/>
      <c r="O4" s="669"/>
      <c r="P4" s="669"/>
      <c r="Q4" s="669"/>
    </row>
    <row r="5" spans="1:21" ht="18.75" thickBot="1" x14ac:dyDescent="0.3">
      <c r="A5" s="1"/>
      <c r="B5" s="1"/>
      <c r="C5" s="26"/>
      <c r="D5" s="26"/>
      <c r="E5" s="26"/>
      <c r="F5" s="26"/>
      <c r="K5" s="138"/>
      <c r="L5" s="138"/>
      <c r="M5" s="138"/>
      <c r="N5" s="138"/>
      <c r="S5" s="148" t="s">
        <v>109</v>
      </c>
      <c r="T5" s="149"/>
      <c r="U5" s="150"/>
    </row>
    <row r="6" spans="1:21" ht="17.100000000000001" customHeight="1" thickBot="1" x14ac:dyDescent="0.3">
      <c r="A6" s="1"/>
      <c r="B6" s="6"/>
      <c r="C6" s="10"/>
      <c r="D6" s="10"/>
      <c r="E6" s="11"/>
      <c r="F6" s="64"/>
      <c r="H6" s="158"/>
      <c r="I6" s="159"/>
      <c r="J6" s="159"/>
      <c r="K6" s="160"/>
      <c r="L6" s="160"/>
      <c r="M6" s="160"/>
      <c r="N6" s="160"/>
      <c r="O6" s="161"/>
      <c r="S6" s="155" t="s">
        <v>148</v>
      </c>
      <c r="T6" s="151"/>
      <c r="U6" s="152" t="s">
        <v>122</v>
      </c>
    </row>
    <row r="7" spans="1:21" ht="17.100000000000001" customHeight="1" x14ac:dyDescent="0.25">
      <c r="A7" s="1"/>
      <c r="B7" s="7"/>
      <c r="C7" s="33" t="s">
        <v>98</v>
      </c>
      <c r="D7" s="65"/>
      <c r="E7" s="65"/>
      <c r="F7" s="66"/>
      <c r="H7" s="69"/>
      <c r="I7" s="33" t="s">
        <v>128</v>
      </c>
      <c r="J7" s="71"/>
      <c r="K7" s="691" t="s">
        <v>494</v>
      </c>
      <c r="L7" s="162"/>
      <c r="M7" s="162"/>
      <c r="N7" s="162"/>
      <c r="O7" s="72"/>
      <c r="S7" s="144" t="s">
        <v>26</v>
      </c>
      <c r="T7" s="142">
        <v>-1</v>
      </c>
      <c r="U7" s="153">
        <v>-2</v>
      </c>
    </row>
    <row r="8" spans="1:21" ht="17.100000000000001" customHeight="1" thickBot="1" x14ac:dyDescent="0.3">
      <c r="A8" s="1"/>
      <c r="B8" s="7"/>
      <c r="C8" s="67"/>
      <c r="D8" s="67"/>
      <c r="E8" s="67"/>
      <c r="F8" s="21"/>
      <c r="H8" s="69"/>
      <c r="I8" s="71"/>
      <c r="J8" s="71"/>
      <c r="K8" s="162"/>
      <c r="L8" s="162"/>
      <c r="M8" s="162"/>
      <c r="N8" s="162"/>
      <c r="O8" s="72"/>
      <c r="S8" s="145" t="s">
        <v>113</v>
      </c>
      <c r="T8" s="142">
        <v>-0.1</v>
      </c>
      <c r="U8" s="154">
        <v>-1</v>
      </c>
    </row>
    <row r="9" spans="1:21" ht="33.950000000000003" customHeight="1" thickBot="1" x14ac:dyDescent="0.3">
      <c r="A9" s="2"/>
      <c r="B9" s="8"/>
      <c r="C9" s="4" t="s">
        <v>99</v>
      </c>
      <c r="D9" s="14"/>
      <c r="E9" s="578"/>
      <c r="F9" s="21"/>
      <c r="H9" s="69"/>
      <c r="I9" s="4" t="s">
        <v>103</v>
      </c>
      <c r="J9" s="675">
        <f>IF(K9="",0,1)</f>
        <v>0</v>
      </c>
      <c r="K9" s="690" t="str">
        <f>I27</f>
        <v/>
      </c>
      <c r="L9" s="162"/>
      <c r="M9" s="162"/>
      <c r="N9" s="162"/>
      <c r="O9" s="72"/>
      <c r="S9" s="145" t="s">
        <v>112</v>
      </c>
      <c r="T9" s="142">
        <v>-0.05</v>
      </c>
      <c r="U9" s="154">
        <v>0</v>
      </c>
    </row>
    <row r="10" spans="1:21" ht="11.1" customHeight="1" thickBot="1" x14ac:dyDescent="0.35">
      <c r="A10" s="1"/>
      <c r="B10" s="7"/>
      <c r="C10" s="68"/>
      <c r="D10" s="14"/>
      <c r="E10" s="15"/>
      <c r="F10" s="21"/>
      <c r="H10" s="69"/>
      <c r="I10" s="167"/>
      <c r="J10" s="675"/>
      <c r="K10" s="168"/>
      <c r="L10" s="71"/>
      <c r="M10" s="71"/>
      <c r="N10" s="71"/>
      <c r="O10" s="72"/>
      <c r="S10" s="146" t="s">
        <v>111</v>
      </c>
      <c r="T10" s="142">
        <v>0</v>
      </c>
      <c r="U10" s="154">
        <v>0</v>
      </c>
    </row>
    <row r="11" spans="1:21" ht="33.950000000000003" customHeight="1" thickBot="1" x14ac:dyDescent="0.3">
      <c r="A11" s="1"/>
      <c r="B11" s="7"/>
      <c r="C11" s="4" t="s">
        <v>129</v>
      </c>
      <c r="D11" s="38"/>
      <c r="E11" s="655" t="s">
        <v>82</v>
      </c>
      <c r="F11" s="21"/>
      <c r="H11" s="69"/>
      <c r="I11" s="4" t="s">
        <v>104</v>
      </c>
      <c r="J11" s="675">
        <f>IF(K11="",0,1)</f>
        <v>0</v>
      </c>
      <c r="K11" s="690" t="str">
        <f>I35</f>
        <v/>
      </c>
      <c r="L11" s="71"/>
      <c r="M11" s="71"/>
      <c r="N11" s="71"/>
      <c r="O11" s="72"/>
      <c r="S11" s="145" t="s">
        <v>110</v>
      </c>
      <c r="T11" s="142">
        <v>0.05</v>
      </c>
      <c r="U11" s="154">
        <v>1</v>
      </c>
    </row>
    <row r="12" spans="1:21" ht="18" customHeight="1" thickBot="1" x14ac:dyDescent="0.35">
      <c r="A12" s="1"/>
      <c r="B12" s="7"/>
      <c r="C12" s="39"/>
      <c r="D12" s="38"/>
      <c r="E12" s="38"/>
      <c r="F12" s="21"/>
      <c r="H12" s="69"/>
      <c r="I12" s="167"/>
      <c r="J12" s="675"/>
      <c r="K12" s="168"/>
      <c r="L12" s="71"/>
      <c r="M12" s="71"/>
      <c r="N12" s="71"/>
      <c r="O12" s="72"/>
      <c r="S12" s="147" t="s">
        <v>114</v>
      </c>
      <c r="T12" s="143">
        <v>0.1</v>
      </c>
      <c r="U12" s="139">
        <v>2</v>
      </c>
    </row>
    <row r="13" spans="1:21" ht="33.950000000000003" customHeight="1" thickBot="1" x14ac:dyDescent="0.3">
      <c r="A13" s="1"/>
      <c r="B13" s="7"/>
      <c r="C13" s="4" t="s">
        <v>130</v>
      </c>
      <c r="D13" s="38"/>
      <c r="E13" s="583" t="s">
        <v>82</v>
      </c>
      <c r="F13" s="21"/>
      <c r="H13" s="69"/>
      <c r="I13" s="4" t="s">
        <v>105</v>
      </c>
      <c r="J13" s="675">
        <f>IF(K13="",0,1)</f>
        <v>0</v>
      </c>
      <c r="K13" s="690" t="str">
        <f>I41</f>
        <v/>
      </c>
      <c r="L13" s="71"/>
      <c r="M13" s="71"/>
      <c r="N13" s="166" t="s">
        <v>123</v>
      </c>
      <c r="O13" s="72"/>
    </row>
    <row r="14" spans="1:21" ht="9.9499999999999993" customHeight="1" thickBot="1" x14ac:dyDescent="0.35">
      <c r="A14" s="1"/>
      <c r="B14" s="7"/>
      <c r="C14" s="38"/>
      <c r="D14" s="38"/>
      <c r="E14" s="38"/>
      <c r="F14" s="21"/>
      <c r="H14" s="69"/>
      <c r="I14" s="167"/>
      <c r="J14" s="675"/>
      <c r="K14" s="168"/>
      <c r="L14" s="71"/>
      <c r="M14" s="71"/>
      <c r="N14" s="793" t="str">
        <f>IF(SUM(J9:J21)&lt;&gt;7,"",IF(SUM(K9:K21)&gt;5,5,IF(SUM(K9:K21)&lt;0,0,SUM(K9:K21))))</f>
        <v/>
      </c>
      <c r="O14" s="72"/>
    </row>
    <row r="15" spans="1:21" ht="33.950000000000003" customHeight="1" thickBot="1" x14ac:dyDescent="0.3">
      <c r="A15" s="1"/>
      <c r="B15" s="7"/>
      <c r="C15" s="4" t="s">
        <v>100</v>
      </c>
      <c r="D15" s="38"/>
      <c r="E15" s="583" t="s">
        <v>82</v>
      </c>
      <c r="F15" s="21"/>
      <c r="H15" s="69"/>
      <c r="I15" s="4" t="s">
        <v>106</v>
      </c>
      <c r="J15" s="675">
        <f>IF(K15="",0,1)</f>
        <v>0</v>
      </c>
      <c r="K15" s="690" t="str">
        <f>I47</f>
        <v/>
      </c>
      <c r="L15" s="71"/>
      <c r="M15" s="71"/>
      <c r="N15" s="794"/>
      <c r="O15" s="72"/>
      <c r="S15" s="148" t="s">
        <v>115</v>
      </c>
      <c r="T15" s="150"/>
    </row>
    <row r="16" spans="1:21" ht="9.9499999999999993" customHeight="1" thickBot="1" x14ac:dyDescent="0.35">
      <c r="A16" s="1"/>
      <c r="B16" s="7"/>
      <c r="C16" s="38"/>
      <c r="D16" s="38"/>
      <c r="E16" s="38"/>
      <c r="F16" s="21"/>
      <c r="H16" s="69"/>
      <c r="I16" s="167"/>
      <c r="J16" s="675"/>
      <c r="K16" s="168"/>
      <c r="L16" s="71"/>
      <c r="M16" s="71"/>
      <c r="N16" s="795"/>
      <c r="O16" s="72"/>
      <c r="S16" s="492" t="s">
        <v>148</v>
      </c>
      <c r="T16" s="494" t="s">
        <v>122</v>
      </c>
    </row>
    <row r="17" spans="1:21" ht="33.950000000000003" customHeight="1" thickBot="1" x14ac:dyDescent="0.3">
      <c r="A17" s="2"/>
      <c r="B17" s="7"/>
      <c r="C17" s="4" t="s">
        <v>101</v>
      </c>
      <c r="D17" s="38"/>
      <c r="E17" s="583" t="s">
        <v>82</v>
      </c>
      <c r="F17" s="21"/>
      <c r="H17" s="69"/>
      <c r="I17" s="4" t="s">
        <v>107</v>
      </c>
      <c r="J17" s="675">
        <f>IF(K17="",0,1)</f>
        <v>0</v>
      </c>
      <c r="K17" s="690" t="str">
        <f>I53</f>
        <v/>
      </c>
      <c r="L17" s="71"/>
      <c r="M17" s="71"/>
      <c r="N17" s="71"/>
      <c r="O17" s="72"/>
      <c r="S17" s="485" t="s">
        <v>97</v>
      </c>
      <c r="T17" s="486">
        <v>0</v>
      </c>
    </row>
    <row r="18" spans="1:21" ht="9.9499999999999993" customHeight="1" thickBot="1" x14ac:dyDescent="0.35">
      <c r="A18" s="1"/>
      <c r="B18" s="7"/>
      <c r="C18" s="38"/>
      <c r="D18" s="38"/>
      <c r="E18" s="38"/>
      <c r="F18" s="21"/>
      <c r="H18" s="69"/>
      <c r="I18" s="167"/>
      <c r="J18" s="675"/>
      <c r="K18" s="168"/>
      <c r="L18" s="71"/>
      <c r="M18" s="71"/>
      <c r="N18" s="71"/>
      <c r="O18" s="72"/>
      <c r="S18" s="145" t="s">
        <v>116</v>
      </c>
      <c r="T18" s="487">
        <v>1</v>
      </c>
    </row>
    <row r="19" spans="1:21" ht="33.950000000000003" customHeight="1" thickBot="1" x14ac:dyDescent="0.3">
      <c r="A19" s="2"/>
      <c r="B19" s="7"/>
      <c r="C19" s="4" t="s">
        <v>102</v>
      </c>
      <c r="D19" s="38"/>
      <c r="E19" s="579"/>
      <c r="F19" s="21"/>
      <c r="H19" s="69"/>
      <c r="I19" s="4" t="s">
        <v>102</v>
      </c>
      <c r="J19" s="675">
        <f>IF(K19="",0,1)</f>
        <v>0</v>
      </c>
      <c r="K19" s="690" t="str">
        <f>I61</f>
        <v/>
      </c>
      <c r="L19" s="71"/>
      <c r="M19" s="71"/>
      <c r="N19" s="71"/>
      <c r="O19" s="72"/>
      <c r="S19" s="147" t="s">
        <v>117</v>
      </c>
      <c r="T19" s="488">
        <v>2</v>
      </c>
    </row>
    <row r="20" spans="1:21" ht="9.9499999999999993" customHeight="1" thickBot="1" x14ac:dyDescent="0.35">
      <c r="A20" s="1"/>
      <c r="B20" s="7"/>
      <c r="C20" s="38"/>
      <c r="D20" s="38"/>
      <c r="E20" s="38"/>
      <c r="F20" s="21"/>
      <c r="H20" s="69"/>
      <c r="I20" s="167"/>
      <c r="J20" s="675"/>
      <c r="K20" s="168"/>
      <c r="L20" s="71"/>
      <c r="M20" s="71"/>
      <c r="N20" s="71"/>
      <c r="O20" s="72"/>
      <c r="S20" s="654" t="s">
        <v>82</v>
      </c>
      <c r="T20" s="574"/>
    </row>
    <row r="21" spans="1:21" ht="33.950000000000003" customHeight="1" thickBot="1" x14ac:dyDescent="0.3">
      <c r="A21" s="2"/>
      <c r="B21" s="7"/>
      <c r="C21" s="4" t="s">
        <v>138</v>
      </c>
      <c r="D21" s="38"/>
      <c r="E21" s="584"/>
      <c r="F21" s="21"/>
      <c r="H21" s="69"/>
      <c r="I21" s="4" t="s">
        <v>121</v>
      </c>
      <c r="J21" s="675">
        <f>IF(K21="",0,1)</f>
        <v>0</v>
      </c>
      <c r="K21" s="690" t="str">
        <f>I67</f>
        <v/>
      </c>
      <c r="L21" s="71"/>
      <c r="M21" s="71"/>
      <c r="N21" s="169" t="s">
        <v>495</v>
      </c>
      <c r="O21" s="72"/>
    </row>
    <row r="22" spans="1:21" ht="16.5" thickBot="1" x14ac:dyDescent="0.3">
      <c r="A22" s="1"/>
      <c r="B22" s="31"/>
      <c r="C22" s="18"/>
      <c r="D22" s="18"/>
      <c r="E22" s="18"/>
      <c r="F22" s="23"/>
      <c r="H22" s="163"/>
      <c r="I22" s="164"/>
      <c r="J22" s="164"/>
      <c r="K22" s="164"/>
      <c r="L22" s="164"/>
      <c r="M22" s="164"/>
      <c r="N22" s="164"/>
      <c r="O22" s="165"/>
      <c r="S22" s="148" t="s">
        <v>118</v>
      </c>
      <c r="T22" s="150"/>
    </row>
    <row r="23" spans="1:21" ht="16.5" thickBot="1" x14ac:dyDescent="0.3">
      <c r="A23" s="1"/>
      <c r="B23" s="1"/>
      <c r="C23" s="24"/>
      <c r="D23" s="24"/>
      <c r="E23" s="1"/>
      <c r="F23" s="25"/>
      <c r="S23" s="155" t="s">
        <v>82</v>
      </c>
      <c r="T23" s="152" t="s">
        <v>122</v>
      </c>
    </row>
    <row r="24" spans="1:21" x14ac:dyDescent="0.25">
      <c r="A24" s="1"/>
      <c r="B24" s="6"/>
      <c r="C24" s="10"/>
      <c r="D24" s="11"/>
      <c r="E24" s="12"/>
      <c r="F24" s="11"/>
      <c r="G24" s="10"/>
      <c r="H24" s="11"/>
      <c r="I24" s="11"/>
      <c r="J24" s="20"/>
      <c r="N24" s="667"/>
      <c r="O24" s="669"/>
      <c r="P24" s="669"/>
      <c r="S24" s="145" t="s">
        <v>84</v>
      </c>
      <c r="T24" s="153">
        <v>0</v>
      </c>
    </row>
    <row r="25" spans="1:21" ht="16.5" thickBot="1" x14ac:dyDescent="0.3">
      <c r="A25" s="2"/>
      <c r="B25" s="8"/>
      <c r="C25" s="34" t="s">
        <v>127</v>
      </c>
      <c r="D25" s="34"/>
      <c r="E25" s="35"/>
      <c r="F25" s="35"/>
      <c r="G25" s="35"/>
      <c r="H25" s="35"/>
      <c r="I25" s="36"/>
      <c r="J25" s="22"/>
      <c r="S25" s="145" t="s">
        <v>83</v>
      </c>
      <c r="T25" s="153">
        <v>1</v>
      </c>
    </row>
    <row r="26" spans="1:21" ht="17.100000000000001" customHeight="1" thickBot="1" x14ac:dyDescent="0.3">
      <c r="A26" s="1"/>
      <c r="B26" s="7"/>
      <c r="C26" s="37"/>
      <c r="D26" s="38"/>
      <c r="E26" s="39"/>
      <c r="F26" s="38"/>
      <c r="G26" s="37"/>
      <c r="H26" s="38"/>
      <c r="I26" s="38"/>
      <c r="J26" s="21"/>
      <c r="S26" s="573" t="s">
        <v>82</v>
      </c>
      <c r="T26" s="574"/>
    </row>
    <row r="27" spans="1:21" ht="26.25" thickBot="1" x14ac:dyDescent="0.3">
      <c r="A27" s="1"/>
      <c r="B27" s="7"/>
      <c r="C27" s="3" t="s">
        <v>99</v>
      </c>
      <c r="D27" s="39" t="s">
        <v>0</v>
      </c>
      <c r="E27" s="3" t="str">
        <f>'Unos podataka'!C9</f>
        <v>Predviđena godišnja proizvodnja (MWh/a)</v>
      </c>
      <c r="F27" s="39" t="s">
        <v>2</v>
      </c>
      <c r="G27" s="3" t="s">
        <v>181</v>
      </c>
      <c r="H27" s="40"/>
      <c r="I27" s="803" t="str">
        <f>IF(G29="","",VLOOKUP(G29,'E4 - Dodatni efekti'!T7:U12,2))</f>
        <v/>
      </c>
      <c r="J27" s="21"/>
    </row>
    <row r="28" spans="1:21" ht="9.9499999999999993" customHeight="1" thickBot="1" x14ac:dyDescent="0.3">
      <c r="A28" s="1"/>
      <c r="B28" s="7"/>
      <c r="C28" s="39"/>
      <c r="D28" s="40"/>
      <c r="E28" s="39"/>
      <c r="F28" s="40"/>
      <c r="G28" s="39"/>
      <c r="H28" s="40"/>
      <c r="I28" s="804"/>
      <c r="J28" s="21"/>
      <c r="S28" s="148" t="s">
        <v>102</v>
      </c>
      <c r="T28" s="149"/>
      <c r="U28" s="150"/>
    </row>
    <row r="29" spans="1:21" ht="16.5" thickBot="1" x14ac:dyDescent="0.3">
      <c r="A29" s="1"/>
      <c r="B29" s="7"/>
      <c r="C29" s="94" t="str">
        <f>IF(E9="","",E9)</f>
        <v/>
      </c>
      <c r="D29" s="39" t="s">
        <v>0</v>
      </c>
      <c r="E29" s="94" t="str">
        <f>IF('Unos podataka'!E9="","",'Unos podataka'!E9)</f>
        <v/>
      </c>
      <c r="F29" s="39" t="s">
        <v>2</v>
      </c>
      <c r="G29" s="173" t="str">
        <f>IF(OR(C29="",E29=""),"",C29/E29)</f>
        <v/>
      </c>
      <c r="H29" s="40"/>
      <c r="I29" s="805"/>
      <c r="J29" s="21"/>
      <c r="S29" s="155" t="s">
        <v>148</v>
      </c>
      <c r="T29" s="151"/>
      <c r="U29" s="152" t="s">
        <v>122</v>
      </c>
    </row>
    <row r="30" spans="1:21" ht="11.1" customHeight="1" thickBot="1" x14ac:dyDescent="0.3">
      <c r="A30" s="1"/>
      <c r="B30" s="31"/>
      <c r="C30" s="41"/>
      <c r="D30" s="19"/>
      <c r="E30" s="42"/>
      <c r="F30" s="19"/>
      <c r="G30" s="19"/>
      <c r="H30" s="19"/>
      <c r="I30" s="19"/>
      <c r="J30" s="23"/>
      <c r="S30" s="485" t="s">
        <v>26</v>
      </c>
      <c r="T30" s="489">
        <v>0</v>
      </c>
      <c r="U30" s="486">
        <v>0</v>
      </c>
    </row>
    <row r="31" spans="1:21" ht="16.5" thickBot="1" x14ac:dyDescent="0.3">
      <c r="A31" s="1"/>
      <c r="S31" s="145" t="s">
        <v>119</v>
      </c>
      <c r="T31" s="490">
        <v>0.05</v>
      </c>
      <c r="U31" s="154">
        <v>1</v>
      </c>
    </row>
    <row r="32" spans="1:21" ht="11.1" customHeight="1" thickBot="1" x14ac:dyDescent="0.3">
      <c r="A32" s="1"/>
      <c r="B32" s="6"/>
      <c r="C32" s="10"/>
      <c r="D32" s="11"/>
      <c r="E32" s="12"/>
      <c r="F32" s="11"/>
      <c r="G32" s="10"/>
      <c r="H32" s="11"/>
      <c r="I32" s="11"/>
      <c r="J32" s="20"/>
      <c r="S32" s="147" t="s">
        <v>120</v>
      </c>
      <c r="T32" s="491">
        <v>0.15</v>
      </c>
      <c r="U32" s="139">
        <v>2</v>
      </c>
    </row>
    <row r="33" spans="1:21" x14ac:dyDescent="0.25">
      <c r="A33" s="2"/>
      <c r="B33" s="8"/>
      <c r="C33" s="34" t="s">
        <v>131</v>
      </c>
      <c r="D33" s="34"/>
      <c r="E33" s="35"/>
      <c r="F33" s="35"/>
      <c r="G33" s="35"/>
      <c r="H33" s="35"/>
      <c r="I33" s="36"/>
      <c r="J33" s="22"/>
    </row>
    <row r="34" spans="1:21" ht="11.1" customHeight="1" thickBot="1" x14ac:dyDescent="0.3">
      <c r="A34" s="1"/>
      <c r="B34" s="7"/>
      <c r="C34" s="37"/>
      <c r="D34" s="38"/>
      <c r="E34" s="39"/>
      <c r="F34" s="38"/>
      <c r="G34" s="37"/>
      <c r="H34" s="38"/>
      <c r="I34" s="38"/>
      <c r="J34" s="21"/>
    </row>
    <row r="35" spans="1:21" ht="42.95" customHeight="1" thickBot="1" x14ac:dyDescent="0.3">
      <c r="A35" s="1"/>
      <c r="B35" s="7"/>
      <c r="C35" s="800" t="str">
        <f>IF(E11=S20,"",E11)</f>
        <v/>
      </c>
      <c r="D35" s="801"/>
      <c r="E35" s="801"/>
      <c r="F35" s="801"/>
      <c r="G35" s="802"/>
      <c r="H35" s="40"/>
      <c r="I35" s="692" t="str">
        <f>IF(C35="","",IF(C35='E4 - Dodatni efekti'!S17,'E4 - Dodatni efekti'!T17,IF('E4 - Dodatni efekti'!C35='E4 - Dodatni efekti'!S18,'E4 - Dodatni efekti'!T18,2)))</f>
        <v/>
      </c>
      <c r="J35" s="21"/>
      <c r="S35" s="148" t="s">
        <v>121</v>
      </c>
      <c r="T35" s="149"/>
      <c r="U35" s="150"/>
    </row>
    <row r="36" spans="1:21" ht="11.1" customHeight="1" thickBot="1" x14ac:dyDescent="0.3">
      <c r="A36" s="1"/>
      <c r="B36" s="31"/>
      <c r="C36" s="41"/>
      <c r="D36" s="19"/>
      <c r="E36" s="42"/>
      <c r="F36" s="19"/>
      <c r="G36" s="19"/>
      <c r="H36" s="19"/>
      <c r="I36" s="19"/>
      <c r="J36" s="23"/>
      <c r="S36" s="492" t="s">
        <v>148</v>
      </c>
      <c r="T36" s="493"/>
      <c r="U36" s="494" t="s">
        <v>122</v>
      </c>
    </row>
    <row r="37" spans="1:21" ht="16.5" thickBot="1" x14ac:dyDescent="0.3">
      <c r="A37" s="1"/>
      <c r="S37" s="145" t="s">
        <v>125</v>
      </c>
      <c r="T37" s="489">
        <v>0</v>
      </c>
      <c r="U37" s="486">
        <v>0</v>
      </c>
    </row>
    <row r="38" spans="1:21" ht="11.1" customHeight="1" x14ac:dyDescent="0.25">
      <c r="A38" s="1"/>
      <c r="B38" s="6"/>
      <c r="C38" s="10"/>
      <c r="D38" s="11"/>
      <c r="E38" s="12"/>
      <c r="F38" s="11"/>
      <c r="G38" s="10"/>
      <c r="H38" s="11"/>
      <c r="I38" s="11"/>
      <c r="J38" s="20"/>
      <c r="S38" s="145" t="s">
        <v>124</v>
      </c>
      <c r="T38" s="490">
        <v>0.1</v>
      </c>
      <c r="U38" s="154">
        <v>1</v>
      </c>
    </row>
    <row r="39" spans="1:21" ht="16.5" thickBot="1" x14ac:dyDescent="0.3">
      <c r="A39" s="2"/>
      <c r="B39" s="8"/>
      <c r="C39" s="34" t="s">
        <v>132</v>
      </c>
      <c r="D39" s="34"/>
      <c r="E39" s="35"/>
      <c r="F39" s="35"/>
      <c r="G39" s="35"/>
      <c r="H39" s="35"/>
      <c r="I39" s="36"/>
      <c r="J39" s="22"/>
      <c r="S39" s="147" t="s">
        <v>126</v>
      </c>
      <c r="T39" s="491">
        <v>0.5</v>
      </c>
      <c r="U39" s="139">
        <v>2</v>
      </c>
    </row>
    <row r="40" spans="1:21" ht="11.1" customHeight="1" thickBot="1" x14ac:dyDescent="0.3">
      <c r="A40" s="1"/>
      <c r="B40" s="7"/>
      <c r="C40" s="37"/>
      <c r="D40" s="38"/>
      <c r="E40" s="39"/>
      <c r="F40" s="38"/>
      <c r="G40" s="37"/>
      <c r="H40" s="38"/>
      <c r="I40" s="38"/>
      <c r="J40" s="21"/>
    </row>
    <row r="41" spans="1:21" ht="42.95" customHeight="1" thickBot="1" x14ac:dyDescent="0.3">
      <c r="A41" s="1"/>
      <c r="B41" s="7"/>
      <c r="C41" s="800" t="str">
        <f>IF(E13=S26,"",E13)</f>
        <v/>
      </c>
      <c r="D41" s="801"/>
      <c r="E41" s="801"/>
      <c r="F41" s="801"/>
      <c r="G41" s="802"/>
      <c r="H41" s="40"/>
      <c r="I41" s="692" t="str">
        <f>IF(C41="","",IF(C41='E4 - Dodatni efekti'!S24,'E4 - Dodatni efekti'!T24,'E4 - Dodatni efekti'!T25))</f>
        <v/>
      </c>
      <c r="J41" s="21"/>
    </row>
    <row r="42" spans="1:21" ht="11.1" customHeight="1" thickBot="1" x14ac:dyDescent="0.3">
      <c r="A42" s="1"/>
      <c r="B42" s="31"/>
      <c r="C42" s="41"/>
      <c r="D42" s="19"/>
      <c r="E42" s="42"/>
      <c r="F42" s="19"/>
      <c r="G42" s="19"/>
      <c r="H42" s="19"/>
      <c r="I42" s="19"/>
      <c r="J42" s="23"/>
    </row>
    <row r="43" spans="1:21" ht="16.5" thickBot="1" x14ac:dyDescent="0.3">
      <c r="A43" s="1"/>
    </row>
    <row r="44" spans="1:21" ht="11.1" customHeight="1" x14ac:dyDescent="0.25">
      <c r="A44" s="1"/>
      <c r="B44" s="6"/>
      <c r="C44" s="10"/>
      <c r="D44" s="11"/>
      <c r="E44" s="12"/>
      <c r="F44" s="11"/>
      <c r="G44" s="10"/>
      <c r="H44" s="11"/>
      <c r="I44" s="11"/>
      <c r="J44" s="20"/>
    </row>
    <row r="45" spans="1:21" x14ac:dyDescent="0.25">
      <c r="A45" s="2"/>
      <c r="B45" s="8"/>
      <c r="C45" s="34" t="s">
        <v>133</v>
      </c>
      <c r="D45" s="34"/>
      <c r="E45" s="35"/>
      <c r="F45" s="35"/>
      <c r="G45" s="35"/>
      <c r="H45" s="35"/>
      <c r="I45" s="36"/>
      <c r="J45" s="22"/>
    </row>
    <row r="46" spans="1:21" ht="11.1" customHeight="1" thickBot="1" x14ac:dyDescent="0.3">
      <c r="A46" s="1"/>
      <c r="B46" s="7"/>
      <c r="C46" s="37"/>
      <c r="D46" s="38"/>
      <c r="E46" s="39"/>
      <c r="F46" s="38"/>
      <c r="G46" s="37"/>
      <c r="H46" s="38"/>
      <c r="I46" s="38"/>
      <c r="J46" s="21"/>
    </row>
    <row r="47" spans="1:21" ht="42.95" customHeight="1" thickBot="1" x14ac:dyDescent="0.3">
      <c r="A47" s="1"/>
      <c r="B47" s="7"/>
      <c r="C47" s="800" t="str">
        <f>IF(E15=S26,"",E15)</f>
        <v/>
      </c>
      <c r="D47" s="801"/>
      <c r="E47" s="801"/>
      <c r="F47" s="801"/>
      <c r="G47" s="802"/>
      <c r="H47" s="40"/>
      <c r="I47" s="692" t="str">
        <f>IF(C47="","",IF(C47='E4 - Dodatni efekti'!S24,'E4 - Dodatni efekti'!T24,'E4 - Dodatni efekti'!T25))</f>
        <v/>
      </c>
      <c r="J47" s="21"/>
    </row>
    <row r="48" spans="1:21" ht="11.1" customHeight="1" thickBot="1" x14ac:dyDescent="0.3">
      <c r="A48" s="1"/>
      <c r="B48" s="31"/>
      <c r="C48" s="41"/>
      <c r="D48" s="19"/>
      <c r="E48" s="42"/>
      <c r="F48" s="19"/>
      <c r="G48" s="19"/>
      <c r="H48" s="19"/>
      <c r="I48" s="19"/>
      <c r="J48" s="23"/>
    </row>
    <row r="49" spans="1:10" ht="16.5" thickBot="1" x14ac:dyDescent="0.3">
      <c r="A49" s="1"/>
    </row>
    <row r="50" spans="1:10" ht="11.1" customHeight="1" x14ac:dyDescent="0.25">
      <c r="A50" s="1"/>
      <c r="B50" s="6"/>
      <c r="C50" s="10"/>
      <c r="D50" s="11"/>
      <c r="E50" s="12"/>
      <c r="F50" s="11"/>
      <c r="G50" s="10"/>
      <c r="H50" s="11"/>
      <c r="I50" s="11"/>
      <c r="J50" s="20"/>
    </row>
    <row r="51" spans="1:10" x14ac:dyDescent="0.25">
      <c r="A51" s="2"/>
      <c r="B51" s="8"/>
      <c r="C51" s="34" t="s">
        <v>134</v>
      </c>
      <c r="D51" s="34"/>
      <c r="E51" s="35"/>
      <c r="F51" s="35"/>
      <c r="G51" s="35"/>
      <c r="H51" s="35"/>
      <c r="I51" s="36"/>
      <c r="J51" s="22"/>
    </row>
    <row r="52" spans="1:10" ht="11.1" customHeight="1" thickBot="1" x14ac:dyDescent="0.3">
      <c r="A52" s="1"/>
      <c r="B52" s="7"/>
      <c r="C52" s="37"/>
      <c r="D52" s="38"/>
      <c r="E52" s="39"/>
      <c r="F52" s="38"/>
      <c r="G52" s="37"/>
      <c r="H52" s="38"/>
      <c r="I52" s="38"/>
      <c r="J52" s="21"/>
    </row>
    <row r="53" spans="1:10" ht="42.95" customHeight="1" thickBot="1" x14ac:dyDescent="0.3">
      <c r="A53" s="1"/>
      <c r="B53" s="7"/>
      <c r="C53" s="800" t="str">
        <f>IF(E17=S26,"",E17)</f>
        <v/>
      </c>
      <c r="D53" s="801"/>
      <c r="E53" s="801"/>
      <c r="F53" s="801"/>
      <c r="G53" s="802"/>
      <c r="H53" s="40"/>
      <c r="I53" s="692" t="str">
        <f>IF(C53="","",IF(C53='E4 - Dodatni efekti'!S24,'E4 - Dodatni efekti'!T24,'E4 - Dodatni efekti'!T25))</f>
        <v/>
      </c>
      <c r="J53" s="21"/>
    </row>
    <row r="54" spans="1:10" ht="11.1" customHeight="1" thickBot="1" x14ac:dyDescent="0.3">
      <c r="A54" s="1"/>
      <c r="B54" s="31"/>
      <c r="C54" s="41"/>
      <c r="D54" s="19"/>
      <c r="E54" s="42"/>
      <c r="F54" s="19"/>
      <c r="G54" s="19"/>
      <c r="H54" s="19"/>
      <c r="I54" s="19"/>
      <c r="J54" s="23"/>
    </row>
    <row r="55" spans="1:10" ht="16.5" thickBot="1" x14ac:dyDescent="0.3"/>
    <row r="56" spans="1:10" x14ac:dyDescent="0.25">
      <c r="B56" s="6"/>
      <c r="C56" s="10"/>
      <c r="D56" s="11"/>
      <c r="E56" s="12"/>
      <c r="F56" s="11"/>
      <c r="G56" s="10"/>
      <c r="H56" s="11"/>
      <c r="I56" s="11"/>
      <c r="J56" s="20"/>
    </row>
    <row r="57" spans="1:10" x14ac:dyDescent="0.25">
      <c r="B57" s="8"/>
      <c r="C57" s="34" t="s">
        <v>135</v>
      </c>
      <c r="D57" s="34"/>
      <c r="E57" s="35"/>
      <c r="F57" s="35"/>
      <c r="G57" s="35"/>
      <c r="H57" s="35"/>
      <c r="I57" s="36"/>
      <c r="J57" s="22"/>
    </row>
    <row r="58" spans="1:10" x14ac:dyDescent="0.25">
      <c r="B58" s="8"/>
      <c r="C58" s="34"/>
      <c r="D58" s="34"/>
      <c r="E58" s="35"/>
      <c r="F58" s="35"/>
      <c r="G58" s="35"/>
      <c r="H58" s="35"/>
      <c r="I58" s="36"/>
      <c r="J58" s="22"/>
    </row>
    <row r="59" spans="1:10" x14ac:dyDescent="0.25">
      <c r="B59" s="8"/>
      <c r="C59" s="34" t="s">
        <v>139</v>
      </c>
      <c r="D59" s="34"/>
      <c r="E59" s="35"/>
      <c r="F59" s="35"/>
      <c r="G59" s="35"/>
      <c r="H59" s="35"/>
      <c r="I59" s="36"/>
      <c r="J59" s="22"/>
    </row>
    <row r="60" spans="1:10" ht="8.1" customHeight="1" thickBot="1" x14ac:dyDescent="0.3">
      <c r="B60" s="7"/>
      <c r="C60" s="37"/>
      <c r="D60" s="38"/>
      <c r="E60" s="39"/>
      <c r="F60" s="38"/>
      <c r="G60" s="37"/>
      <c r="H60" s="38"/>
      <c r="I60" s="38"/>
      <c r="J60" s="21"/>
    </row>
    <row r="61" spans="1:10" ht="51.75" thickBot="1" x14ac:dyDescent="0.3">
      <c r="B61" s="7"/>
      <c r="C61" s="3" t="str">
        <f>C19</f>
        <v>Doprinos lokalnim/regionalnim projektima prijateljskog okruženja</v>
      </c>
      <c r="D61" s="39" t="s">
        <v>0</v>
      </c>
      <c r="E61" s="3" t="str">
        <f>'Unos podataka'!C11</f>
        <v>Ukupna investicija
(mil. KM)</v>
      </c>
      <c r="F61" s="39" t="s">
        <v>2</v>
      </c>
      <c r="G61" s="3" t="s">
        <v>137</v>
      </c>
      <c r="H61" s="40"/>
      <c r="I61" s="803" t="str">
        <f>IF(G63="","",VLOOKUP(G63,'E4 - Dodatni efekti'!T30:U32,2))</f>
        <v/>
      </c>
      <c r="J61" s="21"/>
    </row>
    <row r="62" spans="1:10" ht="9.9499999999999993" customHeight="1" thickBot="1" x14ac:dyDescent="0.3">
      <c r="B62" s="7"/>
      <c r="C62" s="39"/>
      <c r="D62" s="40"/>
      <c r="E62" s="39"/>
      <c r="F62" s="40"/>
      <c r="G62" s="39"/>
      <c r="H62" s="40"/>
      <c r="I62" s="804"/>
      <c r="J62" s="21"/>
    </row>
    <row r="63" spans="1:10" ht="16.5" thickBot="1" x14ac:dyDescent="0.3">
      <c r="B63" s="7"/>
      <c r="C63" s="141" t="str">
        <f>IF(E19="","",E19)</f>
        <v/>
      </c>
      <c r="D63" s="39" t="s">
        <v>0</v>
      </c>
      <c r="E63" s="141" t="str">
        <f>IF('Unos podataka'!E11="","",'Unos podataka'!E11)</f>
        <v/>
      </c>
      <c r="F63" s="39" t="s">
        <v>2</v>
      </c>
      <c r="G63" s="173" t="str">
        <f>IF(OR(C63="",E63=""),"",C63/E63)</f>
        <v/>
      </c>
      <c r="H63" s="40"/>
      <c r="I63" s="805"/>
      <c r="J63" s="21"/>
    </row>
    <row r="64" spans="1:10" x14ac:dyDescent="0.25">
      <c r="B64" s="7"/>
      <c r="C64" s="37"/>
      <c r="D64" s="38"/>
      <c r="E64" s="39"/>
      <c r="F64" s="38"/>
      <c r="G64" s="37"/>
      <c r="H64" s="38"/>
      <c r="I64" s="38"/>
      <c r="J64" s="21"/>
    </row>
    <row r="65" spans="1:10" x14ac:dyDescent="0.25">
      <c r="B65" s="7"/>
      <c r="C65" s="34" t="s">
        <v>136</v>
      </c>
      <c r="D65" s="34"/>
      <c r="E65" s="35"/>
      <c r="F65" s="35"/>
      <c r="G65" s="35"/>
      <c r="H65" s="35"/>
      <c r="I65" s="36"/>
      <c r="J65" s="21"/>
    </row>
    <row r="66" spans="1:10" ht="16.5" thickBot="1" x14ac:dyDescent="0.3">
      <c r="B66" s="7"/>
      <c r="C66" s="37"/>
      <c r="D66" s="38"/>
      <c r="E66" s="39"/>
      <c r="F66" s="38"/>
      <c r="G66" s="37"/>
      <c r="H66" s="38"/>
      <c r="I66" s="38"/>
      <c r="J66" s="21"/>
    </row>
    <row r="67" spans="1:10" ht="42.95" customHeight="1" thickBot="1" x14ac:dyDescent="0.3">
      <c r="A67" s="1"/>
      <c r="B67" s="7"/>
      <c r="C67" s="806" t="str">
        <f>IF(E21="","",E21)</f>
        <v/>
      </c>
      <c r="D67" s="807"/>
      <c r="E67" s="807"/>
      <c r="F67" s="807"/>
      <c r="G67" s="808"/>
      <c r="H67" s="40"/>
      <c r="I67" s="692" t="str">
        <f>IF(C67="","",VLOOKUP(C67,'E4 - Dodatni efekti'!T37:U39,2))</f>
        <v/>
      </c>
      <c r="J67" s="21"/>
    </row>
    <row r="68" spans="1:10" ht="15.95" customHeight="1" thickBot="1" x14ac:dyDescent="0.3">
      <c r="B68" s="31"/>
      <c r="C68" s="41"/>
      <c r="D68" s="19"/>
      <c r="E68" s="42"/>
      <c r="F68" s="19"/>
      <c r="G68" s="19"/>
      <c r="H68" s="19"/>
      <c r="I68" s="19"/>
      <c r="J68" s="23"/>
    </row>
    <row r="69" spans="1:10" ht="17.100000000000001" customHeight="1" x14ac:dyDescent="0.25"/>
  </sheetData>
  <sheetProtection algorithmName="SHA-512" hashValue="yAQoobcKG+LnpCRlMRT+xHoZXA+UT5MO4dhJeMMgcN1Kl7WsoDXMqbJVzQI8nHvWl5DEt4CcFKYHLai3mC9EbA==" saltValue="q69V0lu7V/MpRnHmpWl1SA==" spinCount="100000" sheet="1" objects="1" scenarios="1"/>
  <mergeCells count="8">
    <mergeCell ref="N14:N16"/>
    <mergeCell ref="C47:G47"/>
    <mergeCell ref="C53:G53"/>
    <mergeCell ref="I61:I63"/>
    <mergeCell ref="C67:G67"/>
    <mergeCell ref="I27:I29"/>
    <mergeCell ref="C35:G35"/>
    <mergeCell ref="C41:G41"/>
  </mergeCells>
  <dataValidations count="6">
    <dataValidation type="list" allowBlank="1" showInputMessage="1" showErrorMessage="1" error="Wrong input!" prompt="Izaberite nivo sinergije" sqref="E11" xr:uid="{92606D0F-F0CD-6D42-AC9B-90607381EA5A}">
      <formula1>$S$17:$S$20</formula1>
    </dataValidation>
    <dataValidation type="list" allowBlank="1" showInputMessage="1" showErrorMessage="1" error="Wrong input!" prompt="Izaberite da ili ne" sqref="E15" xr:uid="{A4F27473-9737-B247-884C-9EAA4A866CF9}">
      <formula1>$S$24:$S$26</formula1>
    </dataValidation>
    <dataValidation allowBlank="1" showInputMessage="1" showErrorMessage="1" prompt="Unesite iznos u mil. KM" sqref="E19" xr:uid="{47DFD856-65F9-994F-B963-696B4C2754AC}"/>
    <dataValidation type="decimal" allowBlank="1" showInputMessage="1" showErrorMessage="1" error="Wrong input - only values between 0 and 100% allowed!" prompt="Unesite vrijednosti između  0 i 100%" sqref="E21" xr:uid="{82B33C6E-1F1B-D94A-9FA6-C58A13F26AA0}">
      <formula1>0</formula1>
      <formula2>1</formula2>
    </dataValidation>
    <dataValidation allowBlank="1" showInputMessage="1" showErrorMessage="1" prompt="Unesite iznos MWh/g" sqref="E9" xr:uid="{A82FF779-8D38-BF40-B701-08A5FB840643}"/>
    <dataValidation type="list" allowBlank="1" showInputMessage="1" showErrorMessage="1" error="Wrong input!" prompt="Izaberite da/ne" sqref="E13 E17" xr:uid="{8CB0DBE6-1659-49D5-8148-384EEB9DBC72}">
      <formula1>$S$24:$S$26</formula1>
    </dataValidation>
  </dataValidations>
  <pageMargins left="0.7" right="0.7" top="0.78740157499999996" bottom="0.78740157499999996"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Tabelle9"/>
  <dimension ref="B1:G18"/>
  <sheetViews>
    <sheetView showGridLines="0" zoomScaleNormal="100" workbookViewId="0">
      <selection activeCell="H30" sqref="H30"/>
    </sheetView>
  </sheetViews>
  <sheetFormatPr defaultColWidth="10.875" defaultRowHeight="15" x14ac:dyDescent="0.2"/>
  <cols>
    <col min="1" max="2" width="3.875" style="5" customWidth="1"/>
    <col min="3" max="3" width="35.625" style="5" customWidth="1"/>
    <col min="4" max="5" width="10.875" style="5"/>
    <col min="6" max="6" width="12.375" style="5" customWidth="1"/>
    <col min="7" max="7" width="3.875" style="5" customWidth="1"/>
    <col min="8" max="16384" width="10.875" style="5"/>
  </cols>
  <sheetData>
    <row r="1" spans="2:7" ht="15.75" thickBot="1" x14ac:dyDescent="0.25"/>
    <row r="2" spans="2:7" x14ac:dyDescent="0.2">
      <c r="B2" s="6"/>
      <c r="C2" s="10"/>
      <c r="D2" s="11"/>
      <c r="E2" s="12"/>
      <c r="F2" s="11"/>
      <c r="G2" s="20"/>
    </row>
    <row r="3" spans="2:7" ht="15.75" x14ac:dyDescent="0.2">
      <c r="B3" s="7"/>
      <c r="C3" s="33" t="s">
        <v>140</v>
      </c>
      <c r="D3" s="33"/>
      <c r="E3" s="33"/>
      <c r="F3" s="33"/>
      <c r="G3" s="30"/>
    </row>
    <row r="4" spans="2:7" ht="18.75" thickBot="1" x14ac:dyDescent="0.25">
      <c r="B4" s="31"/>
      <c r="C4" s="32"/>
      <c r="D4" s="32"/>
      <c r="E4" s="32"/>
      <c r="F4" s="32"/>
      <c r="G4" s="23"/>
    </row>
    <row r="5" spans="2:7" ht="15.75" thickBot="1" x14ac:dyDescent="0.25"/>
    <row r="6" spans="2:7" ht="15.75" thickBot="1" x14ac:dyDescent="0.25">
      <c r="B6" s="6"/>
      <c r="C6" s="11"/>
      <c r="D6" s="10"/>
      <c r="E6" s="10"/>
      <c r="F6" s="11"/>
      <c r="G6" s="20"/>
    </row>
    <row r="7" spans="2:7" ht="32.25" thickBot="1" x14ac:dyDescent="0.25">
      <c r="B7" s="7"/>
      <c r="C7" s="62" t="s">
        <v>79</v>
      </c>
      <c r="D7" s="63" t="s">
        <v>494</v>
      </c>
      <c r="E7" s="63" t="s">
        <v>145</v>
      </c>
      <c r="F7" s="63" t="s">
        <v>146</v>
      </c>
      <c r="G7" s="21"/>
    </row>
    <row r="8" spans="2:7" ht="17.100000000000001" customHeight="1" x14ac:dyDescent="0.2">
      <c r="B8" s="8"/>
      <c r="C8" s="77" t="s">
        <v>141</v>
      </c>
      <c r="D8" s="693" t="str">
        <f>'E1 - Specifična investicija'!I9</f>
        <v/>
      </c>
      <c r="E8" s="78">
        <v>0.3</v>
      </c>
      <c r="F8" s="79" t="str">
        <f>IF(D8="","",E8*D8)</f>
        <v/>
      </c>
      <c r="G8" s="633">
        <f>IF(F8="",0,1)</f>
        <v>0</v>
      </c>
    </row>
    <row r="9" spans="2:7" ht="17.100000000000001" customHeight="1" x14ac:dyDescent="0.2">
      <c r="B9" s="7"/>
      <c r="C9" s="77" t="s">
        <v>142</v>
      </c>
      <c r="D9" s="693" t="str">
        <f>'E2 - Doprinos zaštiti klime'!I9:I11</f>
        <v/>
      </c>
      <c r="E9" s="78">
        <v>0.3</v>
      </c>
      <c r="F9" s="79" t="str">
        <f>IF(D9="","",E9*D9)</f>
        <v/>
      </c>
      <c r="G9" s="633">
        <f t="shared" ref="G9:G11" si="0">IF(F9="",0,1)</f>
        <v>0</v>
      </c>
    </row>
    <row r="10" spans="2:7" ht="17.100000000000001" customHeight="1" x14ac:dyDescent="0.2">
      <c r="B10" s="7"/>
      <c r="C10" s="77" t="s">
        <v>523</v>
      </c>
      <c r="D10" s="693" t="str">
        <f>'E3 - Priključak na d. mrežu'!I9</f>
        <v/>
      </c>
      <c r="E10" s="78">
        <v>0.2</v>
      </c>
      <c r="F10" s="79" t="str">
        <f>IF(D10="","",E10*D10)</f>
        <v/>
      </c>
      <c r="G10" s="633">
        <f t="shared" si="0"/>
        <v>0</v>
      </c>
    </row>
    <row r="11" spans="2:7" ht="15.75" thickBot="1" x14ac:dyDescent="0.25">
      <c r="B11" s="7"/>
      <c r="C11" s="77" t="s">
        <v>143</v>
      </c>
      <c r="D11" s="693" t="str">
        <f>'E4 - Dodatni efekti'!N14</f>
        <v/>
      </c>
      <c r="E11" s="78">
        <v>0.2</v>
      </c>
      <c r="F11" s="79" t="str">
        <f>IF(D11="","",E11*D11)</f>
        <v/>
      </c>
      <c r="G11" s="633">
        <f t="shared" si="0"/>
        <v>0</v>
      </c>
    </row>
    <row r="12" spans="2:7" ht="16.5" thickBot="1" x14ac:dyDescent="0.25">
      <c r="B12" s="8"/>
      <c r="C12" s="81" t="s">
        <v>149</v>
      </c>
      <c r="D12" s="83"/>
      <c r="E12" s="82"/>
      <c r="F12" s="697" t="str">
        <f>IF(SUM(G8:G11)&lt;&gt;4,"",SUM(F8:F11))</f>
        <v/>
      </c>
      <c r="G12" s="22"/>
    </row>
    <row r="13" spans="2:7" ht="15.75" thickBot="1" x14ac:dyDescent="0.25">
      <c r="B13" s="31"/>
      <c r="C13" s="18"/>
      <c r="D13" s="18"/>
      <c r="E13" s="18"/>
      <c r="F13" s="18"/>
      <c r="G13" s="23"/>
    </row>
    <row r="15" spans="2:7" x14ac:dyDescent="0.2">
      <c r="D15" s="76" t="str">
        <f>IF(F12="","-",F12/5)</f>
        <v>-</v>
      </c>
      <c r="E15" s="5" t="s">
        <v>257</v>
      </c>
    </row>
    <row r="16" spans="2:7" x14ac:dyDescent="0.2">
      <c r="C16" s="80"/>
    </row>
    <row r="18" spans="2:2" ht="23.25" x14ac:dyDescent="0.35">
      <c r="B18" s="84"/>
    </row>
  </sheetData>
  <sheetProtection algorithmName="SHA-512" hashValue="OVQ9Ylnhu5C57L/SlnZXIY5oIJv3el7RvaxFyqBWgQXKQQnqUk9/QTbjMO2ZfNPMNaHYD1i8pFBabw2dHrvaSg==" saltValue="hbENemW1Mom2yKUTpxaU0w==" spinCount="100000" sheet="1" objects="1" scenarios="1"/>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42</vt:i4>
      </vt:variant>
      <vt:variant>
        <vt:lpstr>Named Ranges</vt:lpstr>
      </vt:variant>
      <vt:variant>
        <vt:i4>1</vt:i4>
      </vt:variant>
    </vt:vector>
  </HeadingPairs>
  <TitlesOfParts>
    <vt:vector size="43" baseType="lpstr">
      <vt:lpstr>Uvod</vt:lpstr>
      <vt:lpstr>Rezultati</vt:lpstr>
      <vt:lpstr>Unos podataka</vt:lpstr>
      <vt:lpstr>Eliminatorni kriteriji</vt:lpstr>
      <vt:lpstr>E1 - Specifična investicija</vt:lpstr>
      <vt:lpstr>E2 - Doprinos zaštiti klime</vt:lpstr>
      <vt:lpstr>E3 - Priključak na d. mrežu</vt:lpstr>
      <vt:lpstr>E4 - Dodatni efekti</vt:lpstr>
      <vt:lpstr>E - Ukupna ocjena</vt:lpstr>
      <vt:lpstr>UV1 -Iskorištenost hidroe. pot.</vt:lpstr>
      <vt:lpstr>UV2 -Karakteristike HE</vt:lpstr>
      <vt:lpstr>UV3 - Efikasnost iskoriš. vode</vt:lpstr>
      <vt:lpstr>UV4 - Promjena pot. rizika</vt:lpstr>
      <vt:lpstr>UV5 - Utjecaj na kv. vode</vt:lpstr>
      <vt:lpstr>UV6 - Utjecaj na podzemen vode</vt:lpstr>
      <vt:lpstr>UV - Ukupna ocjena</vt:lpstr>
      <vt:lpstr>PP1 - PP dokumentacija</vt:lpstr>
      <vt:lpstr>PP2 - Direktno korištenje t.v.</vt:lpstr>
      <vt:lpstr>PP3 - Infrastruktura</vt:lpstr>
      <vt:lpstr>PP4 - Poljoprivreda</vt:lpstr>
      <vt:lpstr>PP5 - Šumarstvo</vt:lpstr>
      <vt:lpstr>PP6 - Kulturna dobra</vt:lpstr>
      <vt:lpstr>PP7 - Turizam</vt:lpstr>
      <vt:lpstr>PP8 - Lokalna privreda</vt:lpstr>
      <vt:lpstr>PP - Ukupna ocjena</vt:lpstr>
      <vt:lpstr>EV1 - Hidromorfologija</vt:lpstr>
      <vt:lpstr>EV2 - Ekološki status</vt:lpstr>
      <vt:lpstr>EV3 - Površina sliva</vt:lpstr>
      <vt:lpstr>EV4 - Posebni tipovi vodotoka</vt:lpstr>
      <vt:lpstr>EV5 -Postojanje mrjestilišta</vt:lpstr>
      <vt:lpstr>EV6- Putevi slobodnog toka</vt:lpstr>
      <vt:lpstr>EV7 - Toplotno zagađenje</vt:lpstr>
      <vt:lpstr>EV8 - Akumulacija</vt:lpstr>
      <vt:lpstr>EV - Ukupna ocjena</vt:lpstr>
      <vt:lpstr>ZP1 - Zaštita vrsta</vt:lpstr>
      <vt:lpstr>ZP2 - Zaštita priridnog staništ</vt:lpstr>
      <vt:lpstr>ZP3 - Ekosistem</vt:lpstr>
      <vt:lpstr>ZP4 - Pejzaž i rekreacijska vr.</vt:lpstr>
      <vt:lpstr>ZP5 - Prirodni značaj vodotoka</vt:lpstr>
      <vt:lpstr>ZP6 - Osjetljivi tipovi voda</vt:lpstr>
      <vt:lpstr>ZP7 - Osjetljiva i jed. V.T.</vt:lpstr>
      <vt:lpstr>ZP - Ukupna ocjena</vt:lpstr>
      <vt:lpstr>'UV2 -Karakteristike HE'!_Toc421964388</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Unknown</cp:lastModifiedBy>
  <dcterms:created xsi:type="dcterms:W3CDTF">2019-04-04T13:59:12Z</dcterms:created>
  <dcterms:modified xsi:type="dcterms:W3CDTF">2020-06-30T12:15:38Z</dcterms:modified>
</cp:coreProperties>
</file>